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384" windowWidth="20868" windowHeight="8904" activeTab="3"/>
  </bookViews>
  <sheets>
    <sheet name="CONTENIDO" sheetId="21" r:id="rId1"/>
    <sheet name="EMPRESAS - TIPO AERONAVE" sheetId="22" r:id="rId2"/>
    <sheet name="COBERTURA" sheetId="28" r:id="rId3"/>
    <sheet name="PAX REGULAR NACIONAL  I SEM" sheetId="9" r:id="rId4"/>
    <sheet name="PAX REGULAR NACIONAL II SEM" sheetId="12" r:id="rId5"/>
    <sheet name="PAX-  EXTRANJEROS I SEM" sheetId="24" r:id="rId6"/>
    <sheet name="PAX - EXTRANJEROS II SEM" sheetId="25" r:id="rId7"/>
    <sheet name="CARGA -EXTRANJERA I SEM" sheetId="23" r:id="rId8"/>
    <sheet name="CARGA - EXTRANJERA II SEM" sheetId="27" r:id="rId9"/>
    <sheet name="CARGA  I SEM 2011" sheetId="5" r:id="rId10"/>
    <sheet name="CARGA II SEM 2011" sheetId="18" r:id="rId11"/>
    <sheet name="COMERC. REGIONAL I SEM" sheetId="7" r:id="rId12"/>
    <sheet name="COM. REGIO II SEM" sheetId="20" r:id="rId13"/>
    <sheet name="AEROTAXIS I SEM" sheetId="6" r:id="rId14"/>
    <sheet name="AEROTAXI  II SEM" sheetId="14" r:id="rId15"/>
    <sheet name="TRABAJ AEREOS ESPEC I SEM 2011" sheetId="8" r:id="rId16"/>
    <sheet name="TRABAJ AEREOS ESPEC II SEM 2011" sheetId="16" r:id="rId17"/>
    <sheet name="AVIACION AGRICOLA  I SEM 2011" sheetId="15" r:id="rId18"/>
    <sheet name="AVIACION AGRICOLA II SEM 2011" sheetId="17" r:id="rId19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D15" i="28" l="1"/>
  <c r="C15" i="28"/>
  <c r="B15" i="28"/>
  <c r="D7" i="28"/>
  <c r="D8" i="28"/>
  <c r="D9" i="28"/>
  <c r="D10" i="28"/>
  <c r="D11" i="28"/>
  <c r="D12" i="28"/>
  <c r="D13" i="28"/>
  <c r="D14" i="28"/>
  <c r="D6" i="28"/>
  <c r="E38" i="27" l="1"/>
  <c r="F38" i="27"/>
  <c r="E37" i="27"/>
  <c r="F37" i="27"/>
  <c r="D35" i="27"/>
  <c r="E35" i="27"/>
  <c r="F35" i="27"/>
  <c r="D36" i="27"/>
  <c r="E36" i="27"/>
  <c r="F36" i="27"/>
  <c r="E34" i="27"/>
  <c r="F34" i="27"/>
  <c r="E33" i="27"/>
  <c r="F33" i="27"/>
  <c r="D25" i="27"/>
  <c r="E25" i="27"/>
  <c r="F25" i="27"/>
  <c r="D26" i="27"/>
  <c r="E26" i="27"/>
  <c r="F26" i="27"/>
  <c r="D27" i="27"/>
  <c r="E27" i="27"/>
  <c r="F27" i="27"/>
  <c r="D28" i="27"/>
  <c r="E28" i="27"/>
  <c r="F28" i="27"/>
  <c r="D29" i="27"/>
  <c r="E29" i="27"/>
  <c r="F29" i="27"/>
  <c r="D30" i="27"/>
  <c r="E30" i="27"/>
  <c r="F30" i="27"/>
  <c r="D31" i="27"/>
  <c r="E31" i="27"/>
  <c r="F31" i="27"/>
  <c r="D32" i="27"/>
  <c r="E32" i="27"/>
  <c r="F32" i="27"/>
  <c r="E24" i="27"/>
  <c r="F24" i="27"/>
  <c r="C17" i="27"/>
  <c r="C37" i="27" s="1"/>
  <c r="D17" i="27"/>
  <c r="D37" i="27" s="1"/>
  <c r="E17" i="27"/>
  <c r="F17" i="27"/>
  <c r="C13" i="27"/>
  <c r="C18" i="27" s="1"/>
  <c r="C38" i="27" s="1"/>
  <c r="D13" i="27"/>
  <c r="D18" i="27" s="1"/>
  <c r="E13" i="27"/>
  <c r="E18" i="27" s="1"/>
  <c r="F13" i="27"/>
  <c r="F18" i="27" s="1"/>
  <c r="B17" i="27"/>
  <c r="B37" i="27" s="1"/>
  <c r="B13" i="27"/>
  <c r="B18" i="27" s="1"/>
  <c r="B38" i="27" s="1"/>
  <c r="D34" i="23"/>
  <c r="C34" i="23"/>
  <c r="D39" i="23"/>
  <c r="C39" i="23"/>
  <c r="B39" i="23"/>
  <c r="D38" i="23"/>
  <c r="C38" i="23"/>
  <c r="B38" i="23"/>
  <c r="D37" i="23"/>
  <c r="C37" i="23"/>
  <c r="B37" i="23"/>
  <c r="D36" i="23"/>
  <c r="C36" i="23"/>
  <c r="B36" i="23"/>
  <c r="D35" i="23"/>
  <c r="C35" i="23"/>
  <c r="B35" i="23"/>
  <c r="B34" i="23"/>
  <c r="D33" i="23"/>
  <c r="C33" i="23"/>
  <c r="B33" i="23"/>
  <c r="D32" i="23"/>
  <c r="C32" i="23"/>
  <c r="B32" i="23"/>
  <c r="D31" i="23"/>
  <c r="C31" i="23"/>
  <c r="B31" i="23"/>
  <c r="D30" i="23"/>
  <c r="C30" i="23"/>
  <c r="B30" i="23"/>
  <c r="D29" i="23"/>
  <c r="C29" i="23"/>
  <c r="B29" i="23"/>
  <c r="D28" i="23"/>
  <c r="C28" i="23"/>
  <c r="B28" i="23"/>
  <c r="D27" i="23"/>
  <c r="C27" i="23"/>
  <c r="B27" i="23"/>
  <c r="D26" i="23"/>
  <c r="C26" i="23"/>
  <c r="B26" i="23"/>
  <c r="D25" i="23"/>
  <c r="C25" i="23"/>
  <c r="B25" i="23"/>
  <c r="C18" i="23"/>
  <c r="D18" i="23"/>
  <c r="B18" i="23"/>
  <c r="C14" i="23"/>
  <c r="D14" i="23"/>
  <c r="B14" i="23"/>
  <c r="C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B14" i="25"/>
  <c r="D24" i="27" l="1"/>
  <c r="B32" i="27"/>
  <c r="C31" i="27"/>
  <c r="B30" i="27"/>
  <c r="C29" i="27"/>
  <c r="B28" i="27"/>
  <c r="C27" i="27"/>
  <c r="B26" i="27"/>
  <c r="C25" i="27"/>
  <c r="B33" i="27"/>
  <c r="C33" i="27"/>
  <c r="D34" i="27"/>
  <c r="B36" i="27"/>
  <c r="C35" i="27"/>
  <c r="D38" i="27"/>
  <c r="B24" i="27"/>
  <c r="C24" i="27"/>
  <c r="C32" i="27"/>
  <c r="B31" i="27"/>
  <c r="C30" i="27"/>
  <c r="B29" i="27"/>
  <c r="C28" i="27"/>
  <c r="B27" i="27"/>
  <c r="C26" i="27"/>
  <c r="B25" i="27"/>
  <c r="D33" i="27"/>
  <c r="B34" i="27"/>
  <c r="C34" i="27"/>
  <c r="C36" i="27"/>
  <c r="B35" i="27"/>
  <c r="B19" i="23"/>
  <c r="C19" i="23"/>
  <c r="D19" i="23"/>
  <c r="M19" i="25"/>
  <c r="P18" i="25"/>
  <c r="P19" i="25"/>
  <c r="P34" i="25"/>
  <c r="N19" i="25"/>
  <c r="J19" i="25"/>
  <c r="J33" i="25" s="1"/>
  <c r="F19" i="25"/>
  <c r="F33" i="25" s="1"/>
  <c r="Q18" i="25"/>
  <c r="Q19" i="25"/>
  <c r="Q34" i="25"/>
  <c r="O18" i="25"/>
  <c r="O19" i="25" s="1"/>
  <c r="O34" i="25"/>
  <c r="E19" i="25"/>
  <c r="B18" i="25"/>
  <c r="M18" i="25"/>
  <c r="K18" i="25"/>
  <c r="K19" i="25" s="1"/>
  <c r="I18" i="25"/>
  <c r="G18" i="25"/>
  <c r="E18" i="25"/>
  <c r="C18" i="25"/>
  <c r="C19" i="25" s="1"/>
  <c r="E33" i="25"/>
  <c r="M33" i="25"/>
  <c r="N18" i="25"/>
  <c r="L18" i="25"/>
  <c r="J18" i="25"/>
  <c r="H18" i="25"/>
  <c r="F18" i="25"/>
  <c r="D18" i="25"/>
  <c r="F39" i="24"/>
  <c r="G39" i="24"/>
  <c r="H39" i="24"/>
  <c r="I39" i="24"/>
  <c r="J39" i="24"/>
  <c r="K39" i="24"/>
  <c r="L39" i="24"/>
  <c r="M39" i="24"/>
  <c r="N39" i="24"/>
  <c r="O39" i="24"/>
  <c r="E36" i="24"/>
  <c r="F36" i="24"/>
  <c r="G36" i="24"/>
  <c r="H36" i="24"/>
  <c r="I36" i="24"/>
  <c r="J36" i="24"/>
  <c r="K36" i="24"/>
  <c r="L36" i="24"/>
  <c r="M36" i="24"/>
  <c r="N36" i="24"/>
  <c r="O36" i="24"/>
  <c r="E37" i="24"/>
  <c r="F37" i="24"/>
  <c r="G37" i="24"/>
  <c r="H37" i="24"/>
  <c r="I37" i="24"/>
  <c r="J37" i="24"/>
  <c r="K37" i="24"/>
  <c r="L37" i="24"/>
  <c r="M37" i="24"/>
  <c r="N37" i="24"/>
  <c r="O37" i="24"/>
  <c r="F35" i="24"/>
  <c r="G35" i="24"/>
  <c r="H35" i="24"/>
  <c r="I35" i="24"/>
  <c r="J35" i="24"/>
  <c r="K35" i="24"/>
  <c r="L35" i="24"/>
  <c r="M35" i="24"/>
  <c r="N35" i="24"/>
  <c r="O35" i="24"/>
  <c r="E26" i="24"/>
  <c r="F26" i="24"/>
  <c r="G26" i="24"/>
  <c r="H26" i="24"/>
  <c r="I26" i="24"/>
  <c r="J26" i="24"/>
  <c r="K26" i="24"/>
  <c r="L26" i="24"/>
  <c r="M26" i="24"/>
  <c r="N26" i="24"/>
  <c r="O26" i="24"/>
  <c r="E27" i="24"/>
  <c r="F27" i="24"/>
  <c r="G27" i="24"/>
  <c r="H27" i="24"/>
  <c r="I27" i="24"/>
  <c r="J27" i="24"/>
  <c r="K27" i="24"/>
  <c r="L27" i="24"/>
  <c r="M27" i="24"/>
  <c r="N27" i="24"/>
  <c r="O27" i="24"/>
  <c r="E28" i="24"/>
  <c r="F28" i="24"/>
  <c r="G28" i="24"/>
  <c r="H28" i="24"/>
  <c r="I28" i="24"/>
  <c r="J28" i="24"/>
  <c r="K28" i="24"/>
  <c r="L28" i="24"/>
  <c r="M28" i="24"/>
  <c r="N28" i="24"/>
  <c r="O28" i="24"/>
  <c r="E29" i="24"/>
  <c r="F29" i="24"/>
  <c r="G29" i="24"/>
  <c r="H29" i="24"/>
  <c r="I29" i="24"/>
  <c r="J29" i="24"/>
  <c r="K29" i="24"/>
  <c r="L29" i="24"/>
  <c r="M29" i="24"/>
  <c r="N29" i="24"/>
  <c r="O29" i="24"/>
  <c r="E30" i="24"/>
  <c r="F30" i="24"/>
  <c r="G30" i="24"/>
  <c r="H30" i="24"/>
  <c r="I30" i="24"/>
  <c r="J30" i="24"/>
  <c r="K30" i="24"/>
  <c r="L30" i="24"/>
  <c r="M30" i="24"/>
  <c r="N30" i="24"/>
  <c r="O30" i="24"/>
  <c r="E31" i="24"/>
  <c r="F31" i="24"/>
  <c r="G31" i="24"/>
  <c r="H31" i="24"/>
  <c r="I31" i="24"/>
  <c r="J31" i="24"/>
  <c r="K31" i="24"/>
  <c r="L31" i="24"/>
  <c r="M31" i="24"/>
  <c r="N31" i="24"/>
  <c r="O31" i="24"/>
  <c r="E32" i="24"/>
  <c r="F32" i="24"/>
  <c r="G32" i="24"/>
  <c r="H32" i="24"/>
  <c r="I32" i="24"/>
  <c r="J32" i="24"/>
  <c r="K32" i="24"/>
  <c r="L32" i="24"/>
  <c r="M32" i="24"/>
  <c r="N32" i="24"/>
  <c r="O32" i="24"/>
  <c r="E33" i="24"/>
  <c r="F33" i="24"/>
  <c r="G33" i="24"/>
  <c r="H33" i="24"/>
  <c r="I33" i="24"/>
  <c r="J33" i="24"/>
  <c r="K33" i="24"/>
  <c r="L33" i="24"/>
  <c r="M33" i="24"/>
  <c r="N33" i="24"/>
  <c r="O33" i="24"/>
  <c r="F25" i="24"/>
  <c r="G25" i="24"/>
  <c r="H25" i="24"/>
  <c r="I25" i="24"/>
  <c r="J25" i="24"/>
  <c r="K25" i="24"/>
  <c r="L25" i="24"/>
  <c r="M25" i="24"/>
  <c r="N25" i="24"/>
  <c r="O25" i="24"/>
  <c r="E39" i="24"/>
  <c r="E35" i="24"/>
  <c r="E25" i="24"/>
  <c r="O18" i="24"/>
  <c r="O38" i="24" s="1"/>
  <c r="F18" i="24"/>
  <c r="F38" i="24" s="1"/>
  <c r="G18" i="24"/>
  <c r="G38" i="24" s="1"/>
  <c r="H18" i="24"/>
  <c r="H38" i="24" s="1"/>
  <c r="I18" i="24"/>
  <c r="I38" i="24" s="1"/>
  <c r="J18" i="24"/>
  <c r="J38" i="24" s="1"/>
  <c r="K18" i="24"/>
  <c r="K38" i="24" s="1"/>
  <c r="L18" i="24"/>
  <c r="L38" i="24" s="1"/>
  <c r="M18" i="24"/>
  <c r="M38" i="24" s="1"/>
  <c r="N18" i="24"/>
  <c r="N38" i="24" s="1"/>
  <c r="E18" i="24"/>
  <c r="E38" i="24" s="1"/>
  <c r="F14" i="24"/>
  <c r="G14" i="24"/>
  <c r="H14" i="24"/>
  <c r="I14" i="24"/>
  <c r="J14" i="24"/>
  <c r="K14" i="24"/>
  <c r="L14" i="24"/>
  <c r="M14" i="24"/>
  <c r="N14" i="24"/>
  <c r="O14" i="24"/>
  <c r="E14" i="24"/>
  <c r="E34" i="24" s="1"/>
  <c r="O39" i="25" l="1"/>
  <c r="O36" i="25"/>
  <c r="O37" i="25"/>
  <c r="O26" i="25"/>
  <c r="O27" i="25"/>
  <c r="O28" i="25"/>
  <c r="O29" i="25"/>
  <c r="O30" i="25"/>
  <c r="O31" i="25"/>
  <c r="O32" i="25"/>
  <c r="O33" i="25"/>
  <c r="O35" i="25"/>
  <c r="O25" i="25"/>
  <c r="C39" i="25"/>
  <c r="C36" i="25"/>
  <c r="C37" i="25"/>
  <c r="C25" i="25"/>
  <c r="C35" i="25"/>
  <c r="C32" i="25"/>
  <c r="C31" i="25"/>
  <c r="C30" i="25"/>
  <c r="C29" i="25"/>
  <c r="C28" i="25"/>
  <c r="C27" i="25"/>
  <c r="C26" i="25"/>
  <c r="C33" i="25"/>
  <c r="K39" i="25"/>
  <c r="K36" i="25"/>
  <c r="K37" i="25"/>
  <c r="K25" i="25"/>
  <c r="K35" i="25"/>
  <c r="K32" i="25"/>
  <c r="K31" i="25"/>
  <c r="K30" i="25"/>
  <c r="K29" i="25"/>
  <c r="K28" i="25"/>
  <c r="K27" i="25"/>
  <c r="K26" i="25"/>
  <c r="K33" i="25"/>
  <c r="E39" i="25"/>
  <c r="E36" i="25"/>
  <c r="E37" i="25"/>
  <c r="E35" i="25"/>
  <c r="E32" i="25"/>
  <c r="E31" i="25"/>
  <c r="E30" i="25"/>
  <c r="E29" i="25"/>
  <c r="E28" i="25"/>
  <c r="E27" i="25"/>
  <c r="E26" i="25"/>
  <c r="E25" i="25"/>
  <c r="F38" i="25"/>
  <c r="J38" i="25"/>
  <c r="N38" i="25"/>
  <c r="E38" i="25"/>
  <c r="I38" i="25"/>
  <c r="M38" i="25"/>
  <c r="P38" i="25"/>
  <c r="I19" i="25"/>
  <c r="D38" i="25"/>
  <c r="C38" i="25"/>
  <c r="K38" i="25"/>
  <c r="O38" i="25"/>
  <c r="Q38" i="25"/>
  <c r="Q39" i="25"/>
  <c r="Q36" i="25"/>
  <c r="Q37" i="25"/>
  <c r="Q26" i="25"/>
  <c r="Q27" i="25"/>
  <c r="Q28" i="25"/>
  <c r="Q29" i="25"/>
  <c r="Q30" i="25"/>
  <c r="Q31" i="25"/>
  <c r="Q32" i="25"/>
  <c r="Q33" i="25"/>
  <c r="Q35" i="25"/>
  <c r="Q25" i="25"/>
  <c r="D19" i="25"/>
  <c r="F37" i="25"/>
  <c r="F35" i="25"/>
  <c r="F32" i="25"/>
  <c r="F31" i="25"/>
  <c r="F30" i="25"/>
  <c r="F29" i="25"/>
  <c r="F39" i="25"/>
  <c r="F36" i="25"/>
  <c r="F28" i="25"/>
  <c r="F27" i="25"/>
  <c r="F26" i="25"/>
  <c r="F25" i="25"/>
  <c r="H19" i="25"/>
  <c r="H38" i="25" s="1"/>
  <c r="J37" i="25"/>
  <c r="J35" i="25"/>
  <c r="J32" i="25"/>
  <c r="J31" i="25"/>
  <c r="J30" i="25"/>
  <c r="J29" i="25"/>
  <c r="J39" i="25"/>
  <c r="J36" i="25"/>
  <c r="J28" i="25"/>
  <c r="J27" i="25"/>
  <c r="J26" i="25"/>
  <c r="J25" i="25"/>
  <c r="L19" i="25"/>
  <c r="N35" i="25"/>
  <c r="N36" i="25"/>
  <c r="N37" i="25"/>
  <c r="N26" i="25"/>
  <c r="N27" i="25"/>
  <c r="N28" i="25"/>
  <c r="N29" i="25"/>
  <c r="N30" i="25"/>
  <c r="N31" i="25"/>
  <c r="N32" i="25"/>
  <c r="N33" i="25"/>
  <c r="N39" i="25"/>
  <c r="N25" i="25"/>
  <c r="P35" i="25"/>
  <c r="P25" i="25"/>
  <c r="P39" i="25"/>
  <c r="P36" i="25"/>
  <c r="P37" i="25"/>
  <c r="P26" i="25"/>
  <c r="P27" i="25"/>
  <c r="P28" i="25"/>
  <c r="P29" i="25"/>
  <c r="P30" i="25"/>
  <c r="P31" i="25"/>
  <c r="P32" i="25"/>
  <c r="P33" i="25"/>
  <c r="B19" i="25"/>
  <c r="G19" i="25"/>
  <c r="M39" i="25"/>
  <c r="M36" i="25"/>
  <c r="M37" i="25"/>
  <c r="M35" i="25"/>
  <c r="M32" i="25"/>
  <c r="M31" i="25"/>
  <c r="M30" i="25"/>
  <c r="M29" i="25"/>
  <c r="M28" i="25"/>
  <c r="M27" i="25"/>
  <c r="M26" i="25"/>
  <c r="M25" i="25"/>
  <c r="J34" i="25"/>
  <c r="I34" i="25"/>
  <c r="N34" i="25"/>
  <c r="F34" i="25"/>
  <c r="E34" i="25"/>
  <c r="M34" i="25"/>
  <c r="L34" i="25"/>
  <c r="H34" i="25"/>
  <c r="D34" i="25"/>
  <c r="C34" i="25"/>
  <c r="G34" i="25"/>
  <c r="K34" i="25"/>
  <c r="M34" i="24"/>
  <c r="K34" i="24"/>
  <c r="I34" i="24"/>
  <c r="G34" i="24"/>
  <c r="O34" i="24"/>
  <c r="N34" i="24"/>
  <c r="L34" i="24"/>
  <c r="J34" i="24"/>
  <c r="H34" i="24"/>
  <c r="F34" i="24"/>
  <c r="G8" i="5"/>
  <c r="G4" i="5"/>
  <c r="B39" i="25" l="1"/>
  <c r="B35" i="25"/>
  <c r="B32" i="25"/>
  <c r="B31" i="25"/>
  <c r="B30" i="25"/>
  <c r="B29" i="25"/>
  <c r="B28" i="25"/>
  <c r="B27" i="25"/>
  <c r="B26" i="25"/>
  <c r="B36" i="25"/>
  <c r="B25" i="25"/>
  <c r="B33" i="25"/>
  <c r="B34" i="25"/>
  <c r="B37" i="25"/>
  <c r="G39" i="25"/>
  <c r="G36" i="25"/>
  <c r="G37" i="25"/>
  <c r="G25" i="25"/>
  <c r="G35" i="25"/>
  <c r="G32" i="25"/>
  <c r="G31" i="25"/>
  <c r="G30" i="25"/>
  <c r="G29" i="25"/>
  <c r="G28" i="25"/>
  <c r="G27" i="25"/>
  <c r="G26" i="25"/>
  <c r="G33" i="25"/>
  <c r="L37" i="25"/>
  <c r="L35" i="25"/>
  <c r="L32" i="25"/>
  <c r="L31" i="25"/>
  <c r="L30" i="25"/>
  <c r="L29" i="25"/>
  <c r="L28" i="25"/>
  <c r="L39" i="25"/>
  <c r="L36" i="25"/>
  <c r="L27" i="25"/>
  <c r="L26" i="25"/>
  <c r="L25" i="25"/>
  <c r="L33" i="25"/>
  <c r="D37" i="25"/>
  <c r="D35" i="25"/>
  <c r="D32" i="25"/>
  <c r="D31" i="25"/>
  <c r="D30" i="25"/>
  <c r="D29" i="25"/>
  <c r="D39" i="25"/>
  <c r="D36" i="25"/>
  <c r="D28" i="25"/>
  <c r="D27" i="25"/>
  <c r="D26" i="25"/>
  <c r="D25" i="25"/>
  <c r="D33" i="25"/>
  <c r="L38" i="25"/>
  <c r="I39" i="25"/>
  <c r="I36" i="25"/>
  <c r="I37" i="25"/>
  <c r="I35" i="25"/>
  <c r="I32" i="25"/>
  <c r="I31" i="25"/>
  <c r="I30" i="25"/>
  <c r="I29" i="25"/>
  <c r="I28" i="25"/>
  <c r="I27" i="25"/>
  <c r="I26" i="25"/>
  <c r="I25" i="25"/>
  <c r="I33" i="25"/>
  <c r="B38" i="25"/>
  <c r="H37" i="25"/>
  <c r="H35" i="25"/>
  <c r="H32" i="25"/>
  <c r="H31" i="25"/>
  <c r="H30" i="25"/>
  <c r="H29" i="25"/>
  <c r="H39" i="25"/>
  <c r="H36" i="25"/>
  <c r="H28" i="25"/>
  <c r="H27" i="25"/>
  <c r="H26" i="25"/>
  <c r="H25" i="25"/>
  <c r="H33" i="25"/>
  <c r="G38" i="25"/>
  <c r="I39" i="20"/>
  <c r="I38" i="20"/>
  <c r="H36" i="20"/>
  <c r="I36" i="20"/>
  <c r="H37" i="20"/>
  <c r="I37" i="20"/>
  <c r="I35" i="20"/>
  <c r="I34" i="20"/>
  <c r="B26" i="20"/>
  <c r="C26" i="20"/>
  <c r="D26" i="20"/>
  <c r="E26" i="20"/>
  <c r="F26" i="20"/>
  <c r="G26" i="20"/>
  <c r="H26" i="20"/>
  <c r="I26" i="20"/>
  <c r="B27" i="20"/>
  <c r="C27" i="20"/>
  <c r="D27" i="20"/>
  <c r="E27" i="20"/>
  <c r="F27" i="20"/>
  <c r="G27" i="20"/>
  <c r="H27" i="20"/>
  <c r="I27" i="20"/>
  <c r="B28" i="20"/>
  <c r="C28" i="20"/>
  <c r="D28" i="20"/>
  <c r="E28" i="20"/>
  <c r="F28" i="20"/>
  <c r="G28" i="20"/>
  <c r="H28" i="20"/>
  <c r="I28" i="20"/>
  <c r="B29" i="20"/>
  <c r="C29" i="20"/>
  <c r="D29" i="20"/>
  <c r="E29" i="20"/>
  <c r="F29" i="20"/>
  <c r="G29" i="20"/>
  <c r="H29" i="20"/>
  <c r="I29" i="20"/>
  <c r="B30" i="20"/>
  <c r="C30" i="20"/>
  <c r="D30" i="20"/>
  <c r="E30" i="20"/>
  <c r="F30" i="20"/>
  <c r="G30" i="20"/>
  <c r="H30" i="20"/>
  <c r="I30" i="20"/>
  <c r="B31" i="20"/>
  <c r="C31" i="20"/>
  <c r="D31" i="20"/>
  <c r="E31" i="20"/>
  <c r="F31" i="20"/>
  <c r="G31" i="20"/>
  <c r="H31" i="20"/>
  <c r="I31" i="20"/>
  <c r="B32" i="20"/>
  <c r="C32" i="20"/>
  <c r="D32" i="20"/>
  <c r="E32" i="20"/>
  <c r="F32" i="20"/>
  <c r="G32" i="20"/>
  <c r="H32" i="20"/>
  <c r="I32" i="20"/>
  <c r="B33" i="20"/>
  <c r="C33" i="20"/>
  <c r="D33" i="20"/>
  <c r="E33" i="20"/>
  <c r="F33" i="20"/>
  <c r="G33" i="20"/>
  <c r="H33" i="20"/>
  <c r="I33" i="20"/>
  <c r="C25" i="20"/>
  <c r="D25" i="20"/>
  <c r="E25" i="20"/>
  <c r="F25" i="20"/>
  <c r="G25" i="20"/>
  <c r="H25" i="20"/>
  <c r="I25" i="20"/>
  <c r="B25" i="20"/>
  <c r="C18" i="20"/>
  <c r="D18" i="20"/>
  <c r="E18" i="20"/>
  <c r="F18" i="20"/>
  <c r="G18" i="20"/>
  <c r="H18" i="20"/>
  <c r="I18" i="20"/>
  <c r="C14" i="20"/>
  <c r="D14" i="20"/>
  <c r="E14" i="20"/>
  <c r="F14" i="20"/>
  <c r="G14" i="20"/>
  <c r="H14" i="20"/>
  <c r="I14" i="20"/>
  <c r="I19" i="20" s="1"/>
  <c r="B18" i="20"/>
  <c r="B14" i="20"/>
  <c r="C18" i="7"/>
  <c r="C38" i="7" s="1"/>
  <c r="D18" i="7"/>
  <c r="D38" i="7" s="1"/>
  <c r="E18" i="7"/>
  <c r="E38" i="7" s="1"/>
  <c r="F18" i="7"/>
  <c r="F38" i="7" s="1"/>
  <c r="G18" i="7"/>
  <c r="G38" i="7" s="1"/>
  <c r="H18" i="7"/>
  <c r="H38" i="7" s="1"/>
  <c r="C14" i="7"/>
  <c r="C19" i="7" s="1"/>
  <c r="C39" i="7" s="1"/>
  <c r="D14" i="7"/>
  <c r="D19" i="7" s="1"/>
  <c r="D36" i="7" s="1"/>
  <c r="E14" i="7"/>
  <c r="E19" i="7" s="1"/>
  <c r="E39" i="7" s="1"/>
  <c r="F14" i="7"/>
  <c r="F19" i="7" s="1"/>
  <c r="F36" i="7" s="1"/>
  <c r="G14" i="7"/>
  <c r="G19" i="7" s="1"/>
  <c r="G39" i="7" s="1"/>
  <c r="H14" i="7"/>
  <c r="H19" i="7" s="1"/>
  <c r="H36" i="7" s="1"/>
  <c r="B18" i="7"/>
  <c r="B14" i="7"/>
  <c r="H25" i="7" l="1"/>
  <c r="F25" i="7"/>
  <c r="D25" i="7"/>
  <c r="H33" i="7"/>
  <c r="F33" i="7"/>
  <c r="D33" i="7"/>
  <c r="G32" i="7"/>
  <c r="E32" i="7"/>
  <c r="C32" i="7"/>
  <c r="H31" i="7"/>
  <c r="F31" i="7"/>
  <c r="D31" i="7"/>
  <c r="G30" i="7"/>
  <c r="E30" i="7"/>
  <c r="C30" i="7"/>
  <c r="H29" i="7"/>
  <c r="F29" i="7"/>
  <c r="D29" i="7"/>
  <c r="G28" i="7"/>
  <c r="E28" i="7"/>
  <c r="C28" i="7"/>
  <c r="H27" i="7"/>
  <c r="F27" i="7"/>
  <c r="D27" i="7"/>
  <c r="G26" i="7"/>
  <c r="E26" i="7"/>
  <c r="C26" i="7"/>
  <c r="G34" i="7"/>
  <c r="E34" i="7"/>
  <c r="C34" i="7"/>
  <c r="H35" i="7"/>
  <c r="F35" i="7"/>
  <c r="D35" i="7"/>
  <c r="H37" i="7"/>
  <c r="F37" i="7"/>
  <c r="D37" i="7"/>
  <c r="G36" i="7"/>
  <c r="E36" i="7"/>
  <c r="C36" i="7"/>
  <c r="H39" i="7"/>
  <c r="F39" i="7"/>
  <c r="D39" i="7"/>
  <c r="G25" i="7"/>
  <c r="E25" i="7"/>
  <c r="C25" i="7"/>
  <c r="G33" i="7"/>
  <c r="E33" i="7"/>
  <c r="C33" i="7"/>
  <c r="H32" i="7"/>
  <c r="F32" i="7"/>
  <c r="D32" i="7"/>
  <c r="G31" i="7"/>
  <c r="E31" i="7"/>
  <c r="C31" i="7"/>
  <c r="H30" i="7"/>
  <c r="F30" i="7"/>
  <c r="D30" i="7"/>
  <c r="G29" i="7"/>
  <c r="E29" i="7"/>
  <c r="C29" i="7"/>
  <c r="H28" i="7"/>
  <c r="F28" i="7"/>
  <c r="D28" i="7"/>
  <c r="G27" i="7"/>
  <c r="E27" i="7"/>
  <c r="C27" i="7"/>
  <c r="H26" i="7"/>
  <c r="F26" i="7"/>
  <c r="D26" i="7"/>
  <c r="H34" i="7"/>
  <c r="F34" i="7"/>
  <c r="D34" i="7"/>
  <c r="G35" i="7"/>
  <c r="E35" i="7"/>
  <c r="C35" i="7"/>
  <c r="G37" i="7"/>
  <c r="E37" i="7"/>
  <c r="C37" i="7"/>
  <c r="E34" i="20"/>
  <c r="H38" i="20"/>
  <c r="D38" i="20"/>
  <c r="E38" i="20"/>
  <c r="G19" i="20"/>
  <c r="E19" i="20"/>
  <c r="C19" i="20"/>
  <c r="B19" i="20"/>
  <c r="H19" i="20"/>
  <c r="F19" i="20"/>
  <c r="D19" i="20"/>
  <c r="B19" i="7"/>
  <c r="B34" i="7" s="1"/>
  <c r="B39" i="7" l="1"/>
  <c r="B36" i="7"/>
  <c r="B35" i="7"/>
  <c r="B26" i="7"/>
  <c r="B28" i="7"/>
  <c r="B30" i="7"/>
  <c r="B32" i="7"/>
  <c r="B25" i="7"/>
  <c r="B37" i="7"/>
  <c r="B27" i="7"/>
  <c r="B29" i="7"/>
  <c r="B31" i="7"/>
  <c r="B33" i="7"/>
  <c r="B38" i="7"/>
  <c r="F39" i="20"/>
  <c r="F37" i="20"/>
  <c r="F35" i="20"/>
  <c r="F36" i="20"/>
  <c r="B39" i="20"/>
  <c r="B37" i="20"/>
  <c r="B35" i="20"/>
  <c r="B36" i="20"/>
  <c r="F34" i="20"/>
  <c r="B34" i="20"/>
  <c r="C36" i="20"/>
  <c r="C39" i="20"/>
  <c r="C37" i="20"/>
  <c r="C35" i="20"/>
  <c r="G36" i="20"/>
  <c r="G39" i="20"/>
  <c r="G37" i="20"/>
  <c r="G35" i="20"/>
  <c r="B38" i="20"/>
  <c r="D39" i="20"/>
  <c r="D37" i="20"/>
  <c r="D35" i="20"/>
  <c r="D36" i="20"/>
  <c r="H39" i="20"/>
  <c r="H35" i="20"/>
  <c r="H34" i="20"/>
  <c r="D34" i="20"/>
  <c r="E36" i="20"/>
  <c r="E39" i="20"/>
  <c r="E37" i="20"/>
  <c r="E35" i="20"/>
  <c r="C38" i="20"/>
  <c r="G38" i="20"/>
  <c r="F38" i="20"/>
  <c r="C34" i="20"/>
  <c r="G34" i="20"/>
  <c r="C16" i="18" l="1"/>
  <c r="D16" i="18"/>
  <c r="E16" i="18"/>
  <c r="F16" i="18"/>
  <c r="G16" i="18"/>
  <c r="H16" i="18"/>
  <c r="I16" i="18"/>
  <c r="J16" i="18"/>
  <c r="K16" i="18"/>
  <c r="C12" i="18"/>
  <c r="C17" i="18" s="1"/>
  <c r="C37" i="18" s="1"/>
  <c r="D12" i="18"/>
  <c r="D17" i="18" s="1"/>
  <c r="D37" i="18" s="1"/>
  <c r="E12" i="18"/>
  <c r="E17" i="18" s="1"/>
  <c r="E37" i="18" s="1"/>
  <c r="F12" i="18"/>
  <c r="F17" i="18" s="1"/>
  <c r="F37" i="18" s="1"/>
  <c r="G12" i="18"/>
  <c r="G17" i="18" s="1"/>
  <c r="G37" i="18" s="1"/>
  <c r="H12" i="18"/>
  <c r="H17" i="18" s="1"/>
  <c r="H37" i="18" s="1"/>
  <c r="I12" i="18"/>
  <c r="I17" i="18" s="1"/>
  <c r="I37" i="18" s="1"/>
  <c r="J12" i="18"/>
  <c r="J17" i="18" s="1"/>
  <c r="J37" i="18" s="1"/>
  <c r="K12" i="18"/>
  <c r="K17" i="18" s="1"/>
  <c r="K37" i="18" s="1"/>
  <c r="B16" i="18"/>
  <c r="B12" i="18"/>
  <c r="B17" i="18" s="1"/>
  <c r="B37" i="18" s="1"/>
  <c r="C16" i="5"/>
  <c r="D16" i="5"/>
  <c r="E16" i="5"/>
  <c r="F16" i="5"/>
  <c r="G16" i="5"/>
  <c r="H16" i="5"/>
  <c r="I16" i="5"/>
  <c r="J16" i="5"/>
  <c r="K16" i="5"/>
  <c r="C12" i="5"/>
  <c r="C17" i="5" s="1"/>
  <c r="C37" i="5" s="1"/>
  <c r="D12" i="5"/>
  <c r="D17" i="5" s="1"/>
  <c r="D34" i="5" s="1"/>
  <c r="E12" i="5"/>
  <c r="E17" i="5" s="1"/>
  <c r="E37" i="5" s="1"/>
  <c r="F12" i="5"/>
  <c r="F17" i="5" s="1"/>
  <c r="F34" i="5" s="1"/>
  <c r="G12" i="5"/>
  <c r="H12" i="5"/>
  <c r="H17" i="5" s="1"/>
  <c r="H34" i="5" s="1"/>
  <c r="I12" i="5"/>
  <c r="I17" i="5" s="1"/>
  <c r="I37" i="5" s="1"/>
  <c r="J12" i="5"/>
  <c r="J17" i="5" s="1"/>
  <c r="J34" i="5" s="1"/>
  <c r="K12" i="5"/>
  <c r="K17" i="5" s="1"/>
  <c r="K37" i="5" s="1"/>
  <c r="B16" i="5"/>
  <c r="B12" i="5"/>
  <c r="J36" i="18" l="1"/>
  <c r="H36" i="18"/>
  <c r="F36" i="18"/>
  <c r="D36" i="18"/>
  <c r="B36" i="18"/>
  <c r="K36" i="18"/>
  <c r="I36" i="18"/>
  <c r="G36" i="18"/>
  <c r="E36" i="18"/>
  <c r="C36" i="18"/>
  <c r="J36" i="5"/>
  <c r="H36" i="5"/>
  <c r="F36" i="5"/>
  <c r="D36" i="5"/>
  <c r="K36" i="5"/>
  <c r="I36" i="5"/>
  <c r="E36" i="5"/>
  <c r="C36" i="5"/>
  <c r="G36" i="5"/>
  <c r="G17" i="5"/>
  <c r="G37" i="5" s="1"/>
  <c r="K23" i="5"/>
  <c r="I23" i="5"/>
  <c r="G23" i="5"/>
  <c r="E23" i="5"/>
  <c r="C23" i="5"/>
  <c r="J31" i="5"/>
  <c r="H31" i="5"/>
  <c r="F31" i="5"/>
  <c r="D31" i="5"/>
  <c r="J30" i="5"/>
  <c r="H30" i="5"/>
  <c r="F30" i="5"/>
  <c r="D30" i="5"/>
  <c r="J29" i="5"/>
  <c r="H29" i="5"/>
  <c r="F29" i="5"/>
  <c r="D29" i="5"/>
  <c r="J28" i="5"/>
  <c r="H28" i="5"/>
  <c r="F28" i="5"/>
  <c r="D28" i="5"/>
  <c r="J27" i="5"/>
  <c r="H27" i="5"/>
  <c r="F27" i="5"/>
  <c r="D27" i="5"/>
  <c r="J26" i="5"/>
  <c r="H26" i="5"/>
  <c r="F26" i="5"/>
  <c r="D26" i="5"/>
  <c r="J25" i="5"/>
  <c r="H25" i="5"/>
  <c r="F25" i="5"/>
  <c r="D25" i="5"/>
  <c r="J24" i="5"/>
  <c r="H24" i="5"/>
  <c r="F24" i="5"/>
  <c r="D24" i="5"/>
  <c r="J32" i="5"/>
  <c r="H32" i="5"/>
  <c r="F32" i="5"/>
  <c r="D32" i="5"/>
  <c r="J33" i="5"/>
  <c r="H33" i="5"/>
  <c r="F33" i="5"/>
  <c r="D33" i="5"/>
  <c r="K35" i="5"/>
  <c r="I35" i="5"/>
  <c r="G35" i="5"/>
  <c r="E35" i="5"/>
  <c r="C35" i="5"/>
  <c r="K34" i="5"/>
  <c r="I34" i="5"/>
  <c r="G34" i="5"/>
  <c r="E34" i="5"/>
  <c r="C34" i="5"/>
  <c r="J37" i="5"/>
  <c r="H37" i="5"/>
  <c r="F37" i="5"/>
  <c r="D37" i="5"/>
  <c r="J23" i="5"/>
  <c r="H23" i="5"/>
  <c r="F23" i="5"/>
  <c r="D23" i="5"/>
  <c r="K31" i="5"/>
  <c r="I31" i="5"/>
  <c r="G31" i="5"/>
  <c r="E31" i="5"/>
  <c r="C31" i="5"/>
  <c r="K30" i="5"/>
  <c r="I30" i="5"/>
  <c r="G30" i="5"/>
  <c r="E30" i="5"/>
  <c r="C30" i="5"/>
  <c r="K29" i="5"/>
  <c r="I29" i="5"/>
  <c r="G29" i="5"/>
  <c r="E29" i="5"/>
  <c r="C29" i="5"/>
  <c r="K28" i="5"/>
  <c r="I28" i="5"/>
  <c r="G28" i="5"/>
  <c r="E28" i="5"/>
  <c r="C28" i="5"/>
  <c r="K27" i="5"/>
  <c r="I27" i="5"/>
  <c r="G27" i="5"/>
  <c r="E27" i="5"/>
  <c r="C27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32" i="5"/>
  <c r="I32" i="5"/>
  <c r="G32" i="5"/>
  <c r="E32" i="5"/>
  <c r="C32" i="5"/>
  <c r="K33" i="5"/>
  <c r="I33" i="5"/>
  <c r="G33" i="5"/>
  <c r="E33" i="5"/>
  <c r="C33" i="5"/>
  <c r="J35" i="5"/>
  <c r="H35" i="5"/>
  <c r="F35" i="5"/>
  <c r="D35" i="5"/>
  <c r="B23" i="18"/>
  <c r="D23" i="18"/>
  <c r="F23" i="18"/>
  <c r="H23" i="18"/>
  <c r="J23" i="18"/>
  <c r="B24" i="18"/>
  <c r="D24" i="18"/>
  <c r="F24" i="18"/>
  <c r="H24" i="18"/>
  <c r="J24" i="18"/>
  <c r="B25" i="18"/>
  <c r="D25" i="18"/>
  <c r="F25" i="18"/>
  <c r="H25" i="18"/>
  <c r="J25" i="18"/>
  <c r="B26" i="18"/>
  <c r="D26" i="18"/>
  <c r="F26" i="18"/>
  <c r="H26" i="18"/>
  <c r="J26" i="18"/>
  <c r="B27" i="18"/>
  <c r="D27" i="18"/>
  <c r="F27" i="18"/>
  <c r="H27" i="18"/>
  <c r="J27" i="18"/>
  <c r="B28" i="18"/>
  <c r="D28" i="18"/>
  <c r="F28" i="18"/>
  <c r="H28" i="18"/>
  <c r="J28" i="18"/>
  <c r="B29" i="18"/>
  <c r="D29" i="18"/>
  <c r="F29" i="18"/>
  <c r="H29" i="18"/>
  <c r="J29" i="18"/>
  <c r="B30" i="18"/>
  <c r="D30" i="18"/>
  <c r="F30" i="18"/>
  <c r="H30" i="18"/>
  <c r="J30" i="18"/>
  <c r="B31" i="18"/>
  <c r="D31" i="18"/>
  <c r="F31" i="18"/>
  <c r="H31" i="18"/>
  <c r="J31" i="18"/>
  <c r="B32" i="18"/>
  <c r="D32" i="18"/>
  <c r="F32" i="18"/>
  <c r="H32" i="18"/>
  <c r="J32" i="18"/>
  <c r="B33" i="18"/>
  <c r="D33" i="18"/>
  <c r="F33" i="18"/>
  <c r="H33" i="18"/>
  <c r="J33" i="18"/>
  <c r="B34" i="18"/>
  <c r="D34" i="18"/>
  <c r="F34" i="18"/>
  <c r="H34" i="18"/>
  <c r="J34" i="18"/>
  <c r="B35" i="18"/>
  <c r="D35" i="18"/>
  <c r="F35" i="18"/>
  <c r="H35" i="18"/>
  <c r="J35" i="18"/>
  <c r="C23" i="18"/>
  <c r="E23" i="18"/>
  <c r="G23" i="18"/>
  <c r="I23" i="18"/>
  <c r="K23" i="18"/>
  <c r="C24" i="18"/>
  <c r="E24" i="18"/>
  <c r="G24" i="18"/>
  <c r="I24" i="18"/>
  <c r="K24" i="18"/>
  <c r="C25" i="18"/>
  <c r="E25" i="18"/>
  <c r="G25" i="18"/>
  <c r="I25" i="18"/>
  <c r="K25" i="18"/>
  <c r="C26" i="18"/>
  <c r="E26" i="18"/>
  <c r="G26" i="18"/>
  <c r="I26" i="18"/>
  <c r="K26" i="18"/>
  <c r="C27" i="18"/>
  <c r="E27" i="18"/>
  <c r="G27" i="18"/>
  <c r="I27" i="18"/>
  <c r="K27" i="18"/>
  <c r="C28" i="18"/>
  <c r="E28" i="18"/>
  <c r="G28" i="18"/>
  <c r="I28" i="18"/>
  <c r="K28" i="18"/>
  <c r="C29" i="18"/>
  <c r="E29" i="18"/>
  <c r="G29" i="18"/>
  <c r="I29" i="18"/>
  <c r="K29" i="18"/>
  <c r="C30" i="18"/>
  <c r="E30" i="18"/>
  <c r="G30" i="18"/>
  <c r="I30" i="18"/>
  <c r="K30" i="18"/>
  <c r="C31" i="18"/>
  <c r="E31" i="18"/>
  <c r="G31" i="18"/>
  <c r="I31" i="18"/>
  <c r="K31" i="18"/>
  <c r="C32" i="18"/>
  <c r="E32" i="18"/>
  <c r="G32" i="18"/>
  <c r="I32" i="18"/>
  <c r="K32" i="18"/>
  <c r="C33" i="18"/>
  <c r="E33" i="18"/>
  <c r="G33" i="18"/>
  <c r="I33" i="18"/>
  <c r="K33" i="18"/>
  <c r="C34" i="18"/>
  <c r="E34" i="18"/>
  <c r="G34" i="18"/>
  <c r="I34" i="18"/>
  <c r="K34" i="18"/>
  <c r="C35" i="18"/>
  <c r="E35" i="18"/>
  <c r="G35" i="18"/>
  <c r="I35" i="18"/>
  <c r="K35" i="18"/>
  <c r="B17" i="5"/>
  <c r="C15" i="17"/>
  <c r="D15" i="17"/>
  <c r="E15" i="17"/>
  <c r="F15" i="17"/>
  <c r="G15" i="17"/>
  <c r="H15" i="17"/>
  <c r="C11" i="17"/>
  <c r="D11" i="17"/>
  <c r="E11" i="17"/>
  <c r="F11" i="17"/>
  <c r="G11" i="17"/>
  <c r="H11" i="17"/>
  <c r="B15" i="17"/>
  <c r="B11" i="17"/>
  <c r="C16" i="15"/>
  <c r="D16" i="15"/>
  <c r="E16" i="15"/>
  <c r="F16" i="15"/>
  <c r="G16" i="15"/>
  <c r="B16" i="15"/>
  <c r="C12" i="15"/>
  <c r="D12" i="15"/>
  <c r="E12" i="15"/>
  <c r="F12" i="15"/>
  <c r="G12" i="15"/>
  <c r="B12" i="15"/>
  <c r="C12" i="16"/>
  <c r="D12" i="16"/>
  <c r="D17" i="16" s="1"/>
  <c r="D36" i="16" s="1"/>
  <c r="F12" i="16"/>
  <c r="F17" i="16" s="1"/>
  <c r="F24" i="16" s="1"/>
  <c r="C16" i="16"/>
  <c r="D16" i="16"/>
  <c r="F16" i="16"/>
  <c r="B16" i="16"/>
  <c r="B12" i="16"/>
  <c r="E18" i="16"/>
  <c r="E15" i="16"/>
  <c r="E13" i="16"/>
  <c r="E16" i="16" s="1"/>
  <c r="E11" i="16"/>
  <c r="E9" i="16"/>
  <c r="E7" i="16"/>
  <c r="E6" i="16"/>
  <c r="E5" i="16"/>
  <c r="E4" i="16"/>
  <c r="E12" i="16" s="1"/>
  <c r="E17" i="16" s="1"/>
  <c r="E37" i="16" s="1"/>
  <c r="E20" i="16"/>
  <c r="E19" i="16"/>
  <c r="E16" i="8"/>
  <c r="D16" i="8"/>
  <c r="C16" i="8"/>
  <c r="B16" i="8"/>
  <c r="E12" i="8"/>
  <c r="D12" i="8"/>
  <c r="C12" i="8"/>
  <c r="B12" i="8"/>
  <c r="F21" i="9"/>
  <c r="F19" i="9"/>
  <c r="F20" i="9"/>
  <c r="F16" i="9"/>
  <c r="F15" i="9"/>
  <c r="F14" i="9"/>
  <c r="F12" i="9"/>
  <c r="F10" i="9"/>
  <c r="F9" i="9"/>
  <c r="F8" i="9"/>
  <c r="F7" i="9"/>
  <c r="F6" i="9"/>
  <c r="F4" i="9"/>
  <c r="F22" i="12"/>
  <c r="F21" i="12"/>
  <c r="F20" i="12"/>
  <c r="F16" i="12"/>
  <c r="F15" i="12"/>
  <c r="F13" i="12"/>
  <c r="F10" i="12"/>
  <c r="F11" i="12"/>
  <c r="F9" i="12"/>
  <c r="F8" i="12"/>
  <c r="F7" i="12"/>
  <c r="F5" i="12"/>
  <c r="B34" i="5" l="1"/>
  <c r="B35" i="5"/>
  <c r="B37" i="5"/>
  <c r="B33" i="5"/>
  <c r="B24" i="5"/>
  <c r="B25" i="5"/>
  <c r="B26" i="5"/>
  <c r="B27" i="5"/>
  <c r="B28" i="5"/>
  <c r="B29" i="5"/>
  <c r="B30" i="5"/>
  <c r="B23" i="5"/>
  <c r="B31" i="5"/>
  <c r="B32" i="5"/>
  <c r="B36" i="5"/>
  <c r="B31" i="16"/>
  <c r="B17" i="16"/>
  <c r="C17" i="16"/>
  <c r="C36" i="16" s="1"/>
  <c r="B16" i="17"/>
  <c r="B31" i="17" s="1"/>
  <c r="G16" i="17"/>
  <c r="E16" i="17"/>
  <c r="E35" i="17" s="1"/>
  <c r="C16" i="17"/>
  <c r="E30" i="17"/>
  <c r="G30" i="17"/>
  <c r="C34" i="17"/>
  <c r="E34" i="17"/>
  <c r="G34" i="17"/>
  <c r="H16" i="17"/>
  <c r="H35" i="17" s="1"/>
  <c r="F16" i="17"/>
  <c r="D16" i="17"/>
  <c r="D35" i="17" s="1"/>
  <c r="B30" i="17"/>
  <c r="D30" i="17"/>
  <c r="F30" i="17"/>
  <c r="B34" i="17"/>
  <c r="D34" i="17"/>
  <c r="F34" i="17"/>
  <c r="G32" i="15"/>
  <c r="B17" i="15"/>
  <c r="F17" i="15"/>
  <c r="F31" i="15" s="1"/>
  <c r="D17" i="15"/>
  <c r="D36" i="15" s="1"/>
  <c r="B35" i="15"/>
  <c r="B31" i="15"/>
  <c r="C32" i="15"/>
  <c r="F35" i="15"/>
  <c r="G36" i="15"/>
  <c r="G17" i="15"/>
  <c r="E17" i="15"/>
  <c r="C17" i="15"/>
  <c r="C31" i="15" s="1"/>
  <c r="D24" i="16"/>
  <c r="D25" i="16"/>
  <c r="D27" i="16"/>
  <c r="D29" i="16"/>
  <c r="D31" i="16"/>
  <c r="D33" i="16"/>
  <c r="D35" i="16"/>
  <c r="D37" i="16"/>
  <c r="F35" i="16"/>
  <c r="F34" i="16"/>
  <c r="F33" i="16"/>
  <c r="F31" i="16"/>
  <c r="F30" i="16"/>
  <c r="F29" i="16"/>
  <c r="F28" i="16"/>
  <c r="F27" i="16"/>
  <c r="F26" i="16"/>
  <c r="F25" i="16"/>
  <c r="F32" i="16"/>
  <c r="F36" i="16"/>
  <c r="F37" i="16"/>
  <c r="C24" i="16"/>
  <c r="E24" i="16"/>
  <c r="C25" i="16"/>
  <c r="B26" i="16"/>
  <c r="D26" i="16"/>
  <c r="C27" i="16"/>
  <c r="B28" i="16"/>
  <c r="D28" i="16"/>
  <c r="C29" i="16"/>
  <c r="B30" i="16"/>
  <c r="D30" i="16"/>
  <c r="C31" i="16"/>
  <c r="B32" i="16"/>
  <c r="D32" i="16"/>
  <c r="C33" i="16"/>
  <c r="B34" i="16"/>
  <c r="D34" i="16"/>
  <c r="C35" i="16"/>
  <c r="E35" i="16"/>
  <c r="E34" i="16"/>
  <c r="E33" i="16"/>
  <c r="E31" i="16"/>
  <c r="E30" i="16"/>
  <c r="E29" i="16"/>
  <c r="E28" i="16"/>
  <c r="E27" i="16"/>
  <c r="E26" i="16"/>
  <c r="E25" i="16"/>
  <c r="E32" i="16"/>
  <c r="E36" i="16"/>
  <c r="C17" i="8"/>
  <c r="E17" i="8"/>
  <c r="B17" i="8"/>
  <c r="D17" i="8"/>
  <c r="D36" i="8" s="1"/>
  <c r="F17" i="9"/>
  <c r="F13" i="9"/>
  <c r="C17" i="9"/>
  <c r="C13" i="9"/>
  <c r="F18" i="12"/>
  <c r="F14" i="12"/>
  <c r="C18" i="12"/>
  <c r="C14" i="12"/>
  <c r="B36" i="16" l="1"/>
  <c r="B24" i="16"/>
  <c r="B37" i="16"/>
  <c r="B35" i="16"/>
  <c r="B33" i="16"/>
  <c r="B29" i="16"/>
  <c r="B27" i="16"/>
  <c r="B25" i="16"/>
  <c r="C37" i="16"/>
  <c r="C34" i="16"/>
  <c r="C30" i="16"/>
  <c r="C28" i="16"/>
  <c r="C26" i="16"/>
  <c r="C32" i="16"/>
  <c r="F36" i="15"/>
  <c r="C36" i="15"/>
  <c r="F36" i="17"/>
  <c r="F33" i="17"/>
  <c r="F32" i="17"/>
  <c r="F29" i="17"/>
  <c r="F28" i="17"/>
  <c r="F27" i="17"/>
  <c r="F26" i="17"/>
  <c r="F25" i="17"/>
  <c r="F24" i="17"/>
  <c r="F23" i="17"/>
  <c r="H31" i="17"/>
  <c r="C36" i="17"/>
  <c r="C33" i="17"/>
  <c r="C32" i="17"/>
  <c r="C29" i="17"/>
  <c r="C28" i="17"/>
  <c r="C27" i="17"/>
  <c r="C26" i="17"/>
  <c r="C25" i="17"/>
  <c r="C24" i="17"/>
  <c r="C23" i="17"/>
  <c r="G36" i="17"/>
  <c r="G33" i="17"/>
  <c r="G32" i="17"/>
  <c r="G29" i="17"/>
  <c r="G28" i="17"/>
  <c r="G27" i="17"/>
  <c r="G26" i="17"/>
  <c r="G25" i="17"/>
  <c r="G24" i="17"/>
  <c r="G23" i="17"/>
  <c r="F31" i="17"/>
  <c r="C31" i="17"/>
  <c r="G31" i="17"/>
  <c r="D36" i="17"/>
  <c r="D33" i="17"/>
  <c r="D32" i="17"/>
  <c r="D29" i="17"/>
  <c r="D28" i="17"/>
  <c r="D27" i="17"/>
  <c r="D26" i="17"/>
  <c r="D25" i="17"/>
  <c r="D24" i="17"/>
  <c r="D23" i="17"/>
  <c r="H24" i="17"/>
  <c r="H26" i="17"/>
  <c r="H28" i="17"/>
  <c r="H33" i="17"/>
  <c r="H23" i="17"/>
  <c r="H36" i="17"/>
  <c r="H25" i="17"/>
  <c r="H27" i="17"/>
  <c r="H29" i="17"/>
  <c r="H32" i="17"/>
  <c r="H34" i="17"/>
  <c r="C30" i="17"/>
  <c r="E36" i="17"/>
  <c r="E33" i="17"/>
  <c r="E32" i="17"/>
  <c r="E29" i="17"/>
  <c r="E28" i="17"/>
  <c r="E27" i="17"/>
  <c r="E26" i="17"/>
  <c r="E25" i="17"/>
  <c r="E24" i="17"/>
  <c r="E23" i="17"/>
  <c r="B36" i="17"/>
  <c r="B33" i="17"/>
  <c r="B32" i="17"/>
  <c r="B29" i="17"/>
  <c r="B28" i="17"/>
  <c r="B27" i="17"/>
  <c r="B26" i="17"/>
  <c r="B25" i="17"/>
  <c r="B24" i="17"/>
  <c r="B23" i="17"/>
  <c r="F35" i="17"/>
  <c r="D31" i="17"/>
  <c r="H30" i="17"/>
  <c r="C35" i="17"/>
  <c r="G35" i="17"/>
  <c r="E31" i="17"/>
  <c r="B35" i="17"/>
  <c r="E25" i="15"/>
  <c r="E26" i="15"/>
  <c r="E27" i="15"/>
  <c r="E28" i="15"/>
  <c r="E29" i="15"/>
  <c r="E30" i="15"/>
  <c r="E33" i="15"/>
  <c r="E34" i="15"/>
  <c r="E37" i="15"/>
  <c r="E24" i="15"/>
  <c r="B37" i="15"/>
  <c r="B25" i="15"/>
  <c r="B26" i="15"/>
  <c r="B27" i="15"/>
  <c r="B28" i="15"/>
  <c r="B29" i="15"/>
  <c r="B30" i="15"/>
  <c r="B33" i="15"/>
  <c r="B34" i="15"/>
  <c r="B24" i="15"/>
  <c r="D32" i="15"/>
  <c r="B32" i="15"/>
  <c r="E35" i="15"/>
  <c r="C25" i="15"/>
  <c r="C26" i="15"/>
  <c r="C27" i="15"/>
  <c r="C28" i="15"/>
  <c r="C29" i="15"/>
  <c r="C30" i="15"/>
  <c r="C33" i="15"/>
  <c r="C34" i="15"/>
  <c r="C37" i="15"/>
  <c r="C24" i="15"/>
  <c r="G37" i="15"/>
  <c r="G26" i="15"/>
  <c r="G28" i="15"/>
  <c r="G30" i="15"/>
  <c r="G33" i="15"/>
  <c r="G24" i="15"/>
  <c r="G25" i="15"/>
  <c r="G27" i="15"/>
  <c r="G29" i="15"/>
  <c r="G34" i="15"/>
  <c r="G31" i="15"/>
  <c r="E36" i="15"/>
  <c r="E32" i="15"/>
  <c r="D31" i="15"/>
  <c r="D35" i="15"/>
  <c r="F26" i="15"/>
  <c r="F28" i="15"/>
  <c r="F30" i="15"/>
  <c r="F34" i="15"/>
  <c r="F24" i="15"/>
  <c r="F25" i="15"/>
  <c r="F27" i="15"/>
  <c r="F29" i="15"/>
  <c r="F33" i="15"/>
  <c r="F37" i="15"/>
  <c r="B36" i="15"/>
  <c r="F32" i="15"/>
  <c r="C35" i="15"/>
  <c r="G35" i="15"/>
  <c r="E31" i="15"/>
  <c r="D37" i="15"/>
  <c r="D24" i="15"/>
  <c r="D25" i="15"/>
  <c r="D26" i="15"/>
  <c r="D27" i="15"/>
  <c r="D28" i="15"/>
  <c r="D29" i="15"/>
  <c r="D30" i="15"/>
  <c r="D33" i="15"/>
  <c r="D34" i="15"/>
  <c r="B37" i="8"/>
  <c r="B34" i="8"/>
  <c r="B35" i="8"/>
  <c r="B33" i="8"/>
  <c r="C34" i="8"/>
  <c r="C35" i="8"/>
  <c r="C37" i="8"/>
  <c r="C33" i="8"/>
  <c r="B32" i="8"/>
  <c r="C36" i="8"/>
  <c r="C32" i="8"/>
  <c r="D37" i="8"/>
  <c r="D33" i="8"/>
  <c r="D34" i="8"/>
  <c r="D35" i="8"/>
  <c r="D32" i="8"/>
  <c r="E34" i="8"/>
  <c r="E35" i="8"/>
  <c r="E37" i="8"/>
  <c r="E33" i="8"/>
  <c r="B31" i="8"/>
  <c r="B36" i="8"/>
  <c r="E36" i="8"/>
  <c r="E32" i="8"/>
  <c r="D25" i="8"/>
  <c r="D26" i="8"/>
  <c r="D27" i="8"/>
  <c r="D28" i="8"/>
  <c r="D29" i="8"/>
  <c r="D30" i="8"/>
  <c r="D24" i="8"/>
  <c r="D31" i="8"/>
  <c r="B25" i="8"/>
  <c r="B26" i="8"/>
  <c r="B27" i="8"/>
  <c r="B28" i="8"/>
  <c r="B29" i="8"/>
  <c r="B30" i="8"/>
  <c r="B24" i="8"/>
  <c r="C24" i="8"/>
  <c r="C25" i="8"/>
  <c r="C26" i="8"/>
  <c r="C27" i="8"/>
  <c r="C28" i="8"/>
  <c r="C29" i="8"/>
  <c r="C30" i="8"/>
  <c r="C31" i="8"/>
  <c r="E24" i="8"/>
  <c r="E25" i="8"/>
  <c r="E26" i="8"/>
  <c r="E27" i="8"/>
  <c r="E28" i="8"/>
  <c r="E29" i="8"/>
  <c r="E30" i="8"/>
  <c r="E31" i="8"/>
  <c r="F18" i="9"/>
  <c r="F34" i="9" s="1"/>
  <c r="C18" i="9"/>
  <c r="C34" i="9" s="1"/>
  <c r="F19" i="12"/>
  <c r="C19" i="12"/>
  <c r="C35" i="12" s="1"/>
  <c r="M12" i="14"/>
  <c r="N12" i="14"/>
  <c r="O12" i="14"/>
  <c r="P12" i="14"/>
  <c r="Q12" i="14"/>
  <c r="R12" i="14"/>
  <c r="S12" i="14"/>
  <c r="T12" i="14"/>
  <c r="U12" i="14"/>
  <c r="V12" i="14"/>
  <c r="W12" i="14"/>
  <c r="C12" i="14"/>
  <c r="D12" i="14"/>
  <c r="E12" i="14"/>
  <c r="F12" i="14"/>
  <c r="G12" i="14"/>
  <c r="H12" i="14"/>
  <c r="I12" i="14"/>
  <c r="J12" i="14"/>
  <c r="K12" i="14"/>
  <c r="L12" i="14"/>
  <c r="B12" i="14"/>
  <c r="O16" i="14"/>
  <c r="O17" i="14" s="1"/>
  <c r="O36" i="14" s="1"/>
  <c r="P16" i="14"/>
  <c r="P17" i="14" s="1"/>
  <c r="P36" i="14" s="1"/>
  <c r="Q16" i="14"/>
  <c r="Q17" i="14" s="1"/>
  <c r="Q36" i="14" s="1"/>
  <c r="R16" i="14"/>
  <c r="R17" i="14" s="1"/>
  <c r="R36" i="14" s="1"/>
  <c r="S16" i="14"/>
  <c r="S17" i="14" s="1"/>
  <c r="S36" i="14" s="1"/>
  <c r="T16" i="14"/>
  <c r="T17" i="14" s="1"/>
  <c r="T36" i="14" s="1"/>
  <c r="U16" i="14"/>
  <c r="U17" i="14" s="1"/>
  <c r="U36" i="14" s="1"/>
  <c r="V16" i="14"/>
  <c r="V17" i="14" s="1"/>
  <c r="V36" i="14" s="1"/>
  <c r="W16" i="14"/>
  <c r="W17" i="14" s="1"/>
  <c r="W36" i="14" s="1"/>
  <c r="N16" i="14"/>
  <c r="N17" i="14" s="1"/>
  <c r="N36" i="14" s="1"/>
  <c r="M16" i="14"/>
  <c r="M17" i="14" s="1"/>
  <c r="M36" i="14" s="1"/>
  <c r="L16" i="14"/>
  <c r="L17" i="14" s="1"/>
  <c r="L36" i="14" s="1"/>
  <c r="K16" i="14"/>
  <c r="K17" i="14" s="1"/>
  <c r="K36" i="14" s="1"/>
  <c r="J16" i="14"/>
  <c r="J17" i="14" s="1"/>
  <c r="J36" i="14" s="1"/>
  <c r="I16" i="14"/>
  <c r="I17" i="14" s="1"/>
  <c r="I36" i="14" s="1"/>
  <c r="H16" i="14"/>
  <c r="H17" i="14" s="1"/>
  <c r="H36" i="14" s="1"/>
  <c r="G16" i="14"/>
  <c r="G17" i="14" s="1"/>
  <c r="G36" i="14" s="1"/>
  <c r="F16" i="14"/>
  <c r="F17" i="14" s="1"/>
  <c r="F36" i="14" s="1"/>
  <c r="E16" i="14"/>
  <c r="E17" i="14" s="1"/>
  <c r="E36" i="14" s="1"/>
  <c r="D16" i="14"/>
  <c r="D17" i="14" s="1"/>
  <c r="D36" i="14" s="1"/>
  <c r="C16" i="14"/>
  <c r="C17" i="14" s="1"/>
  <c r="C36" i="14" s="1"/>
  <c r="B16" i="14"/>
  <c r="B17" i="14" s="1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B12" i="6"/>
  <c r="D17" i="6"/>
  <c r="F17" i="6"/>
  <c r="H17" i="6"/>
  <c r="J17" i="6"/>
  <c r="J33" i="6" s="1"/>
  <c r="L17" i="6"/>
  <c r="N17" i="6"/>
  <c r="P17" i="6"/>
  <c r="R17" i="6"/>
  <c r="Z17" i="6"/>
  <c r="Z32" i="6" s="1"/>
  <c r="AD17" i="6"/>
  <c r="AH17" i="6"/>
  <c r="AL17" i="6"/>
  <c r="B17" i="6"/>
  <c r="B33" i="6" s="1"/>
  <c r="B16" i="6"/>
  <c r="E18" i="12"/>
  <c r="D18" i="12"/>
  <c r="E14" i="12"/>
  <c r="D14" i="12"/>
  <c r="E17" i="9"/>
  <c r="D17" i="9"/>
  <c r="E13" i="9"/>
  <c r="D13" i="9"/>
  <c r="G17" i="9"/>
  <c r="G13" i="9"/>
  <c r="G18" i="12"/>
  <c r="G14" i="12"/>
  <c r="L31" i="14" l="1"/>
  <c r="J31" i="14"/>
  <c r="H31" i="14"/>
  <c r="F31" i="14"/>
  <c r="D31" i="14"/>
  <c r="W31" i="14"/>
  <c r="U31" i="14"/>
  <c r="S31" i="14"/>
  <c r="Q31" i="14"/>
  <c r="O31" i="14"/>
  <c r="M31" i="14"/>
  <c r="K31" i="14"/>
  <c r="I31" i="14"/>
  <c r="G31" i="14"/>
  <c r="E31" i="14"/>
  <c r="C31" i="14"/>
  <c r="V31" i="14"/>
  <c r="T31" i="14"/>
  <c r="R31" i="14"/>
  <c r="P31" i="14"/>
  <c r="N31" i="14"/>
  <c r="B34" i="6"/>
  <c r="AL34" i="6"/>
  <c r="AH34" i="6"/>
  <c r="AD34" i="6"/>
  <c r="Z34" i="6"/>
  <c r="R34" i="6"/>
  <c r="P34" i="6"/>
  <c r="N34" i="6"/>
  <c r="L34" i="6"/>
  <c r="J34" i="6"/>
  <c r="H34" i="6"/>
  <c r="F34" i="6"/>
  <c r="D34" i="6"/>
  <c r="V17" i="6"/>
  <c r="V34" i="6" s="1"/>
  <c r="AH23" i="6"/>
  <c r="AH24" i="6"/>
  <c r="AH25" i="6"/>
  <c r="AH26" i="6"/>
  <c r="AH27" i="6"/>
  <c r="AH28" i="6"/>
  <c r="AH29" i="6"/>
  <c r="AH31" i="6"/>
  <c r="R23" i="6"/>
  <c r="R24" i="6"/>
  <c r="R25" i="6"/>
  <c r="R26" i="6"/>
  <c r="R27" i="6"/>
  <c r="R28" i="6"/>
  <c r="R29" i="6"/>
  <c r="R31" i="6"/>
  <c r="R32" i="6"/>
  <c r="N23" i="6"/>
  <c r="N24" i="6"/>
  <c r="N25" i="6"/>
  <c r="N26" i="6"/>
  <c r="N27" i="6"/>
  <c r="N28" i="6"/>
  <c r="N29" i="6"/>
  <c r="N31" i="6"/>
  <c r="N32" i="6"/>
  <c r="F23" i="6"/>
  <c r="F24" i="6"/>
  <c r="F25" i="6"/>
  <c r="F26" i="6"/>
  <c r="F27" i="6"/>
  <c r="F28" i="6"/>
  <c r="F29" i="6"/>
  <c r="F31" i="6"/>
  <c r="F32" i="6"/>
  <c r="AL23" i="6"/>
  <c r="AL24" i="6"/>
  <c r="AL25" i="6"/>
  <c r="AL26" i="6"/>
  <c r="AL27" i="6"/>
  <c r="AL28" i="6"/>
  <c r="AL29" i="6"/>
  <c r="AL31" i="6"/>
  <c r="AD23" i="6"/>
  <c r="AD24" i="6"/>
  <c r="AD25" i="6"/>
  <c r="AD26" i="6"/>
  <c r="AD27" i="6"/>
  <c r="AD28" i="6"/>
  <c r="AD29" i="6"/>
  <c r="AD31" i="6"/>
  <c r="V24" i="6"/>
  <c r="V28" i="6"/>
  <c r="V29" i="6"/>
  <c r="V31" i="6"/>
  <c r="P23" i="6"/>
  <c r="P24" i="6"/>
  <c r="P25" i="6"/>
  <c r="P26" i="6"/>
  <c r="P27" i="6"/>
  <c r="P28" i="6"/>
  <c r="P29" i="6"/>
  <c r="P31" i="6"/>
  <c r="P32" i="6"/>
  <c r="L23" i="6"/>
  <c r="L24" i="6"/>
  <c r="L25" i="6"/>
  <c r="L26" i="6"/>
  <c r="L27" i="6"/>
  <c r="L28" i="6"/>
  <c r="L29" i="6"/>
  <c r="L31" i="6"/>
  <c r="L32" i="6"/>
  <c r="H23" i="6"/>
  <c r="H24" i="6"/>
  <c r="H25" i="6"/>
  <c r="H26" i="6"/>
  <c r="H27" i="6"/>
  <c r="H28" i="6"/>
  <c r="H29" i="6"/>
  <c r="H31" i="6"/>
  <c r="H32" i="6"/>
  <c r="D23" i="6"/>
  <c r="D24" i="6"/>
  <c r="D25" i="6"/>
  <c r="D26" i="6"/>
  <c r="D27" i="6"/>
  <c r="D28" i="6"/>
  <c r="D29" i="6"/>
  <c r="D31" i="6"/>
  <c r="D32" i="6"/>
  <c r="AL35" i="6"/>
  <c r="AH35" i="6"/>
  <c r="AD35" i="6"/>
  <c r="Z35" i="6"/>
  <c r="V35" i="6"/>
  <c r="R35" i="6"/>
  <c r="P35" i="6"/>
  <c r="N35" i="6"/>
  <c r="L35" i="6"/>
  <c r="J35" i="6"/>
  <c r="H35" i="6"/>
  <c r="F35" i="6"/>
  <c r="D35" i="6"/>
  <c r="B35" i="6"/>
  <c r="AL33" i="6"/>
  <c r="AH33" i="6"/>
  <c r="AD33" i="6"/>
  <c r="Z33" i="6"/>
  <c r="V33" i="6"/>
  <c r="R33" i="6"/>
  <c r="P33" i="6"/>
  <c r="N33" i="6"/>
  <c r="L33" i="6"/>
  <c r="H33" i="6"/>
  <c r="F33" i="6"/>
  <c r="D33" i="6"/>
  <c r="AL32" i="6"/>
  <c r="AH32" i="6"/>
  <c r="AD32" i="6"/>
  <c r="V32" i="6"/>
  <c r="B23" i="6"/>
  <c r="B24" i="6"/>
  <c r="B25" i="6"/>
  <c r="B26" i="6"/>
  <c r="B27" i="6"/>
  <c r="B28" i="6"/>
  <c r="B29" i="6"/>
  <c r="B31" i="6"/>
  <c r="B32" i="6"/>
  <c r="Z23" i="6"/>
  <c r="Z24" i="6"/>
  <c r="Z25" i="6"/>
  <c r="Z26" i="6"/>
  <c r="Z27" i="6"/>
  <c r="Z28" i="6"/>
  <c r="Z29" i="6"/>
  <c r="Z31" i="6"/>
  <c r="J23" i="6"/>
  <c r="J24" i="6"/>
  <c r="J25" i="6"/>
  <c r="J26" i="6"/>
  <c r="J27" i="6"/>
  <c r="J28" i="6"/>
  <c r="J29" i="6"/>
  <c r="J31" i="6"/>
  <c r="J32" i="6"/>
  <c r="B30" i="6"/>
  <c r="AL30" i="6"/>
  <c r="AH30" i="6"/>
  <c r="AD30" i="6"/>
  <c r="Z30" i="6"/>
  <c r="V30" i="6"/>
  <c r="R30" i="6"/>
  <c r="P30" i="6"/>
  <c r="N30" i="6"/>
  <c r="L30" i="6"/>
  <c r="J30" i="6"/>
  <c r="H30" i="6"/>
  <c r="F30" i="6"/>
  <c r="D30" i="6"/>
  <c r="AL22" i="6"/>
  <c r="AH22" i="6"/>
  <c r="AD22" i="6"/>
  <c r="Z22" i="6"/>
  <c r="V22" i="6"/>
  <c r="R22" i="6"/>
  <c r="P22" i="6"/>
  <c r="N22" i="6"/>
  <c r="L22" i="6"/>
  <c r="J22" i="6"/>
  <c r="H22" i="6"/>
  <c r="F22" i="6"/>
  <c r="D22" i="6"/>
  <c r="B31" i="14"/>
  <c r="V35" i="14"/>
  <c r="T35" i="14"/>
  <c r="R35" i="14"/>
  <c r="P35" i="14"/>
  <c r="N35" i="14"/>
  <c r="L35" i="14"/>
  <c r="J35" i="14"/>
  <c r="H35" i="14"/>
  <c r="F35" i="14"/>
  <c r="D35" i="14"/>
  <c r="W35" i="14"/>
  <c r="U35" i="14"/>
  <c r="S35" i="14"/>
  <c r="Q35" i="14"/>
  <c r="O35" i="14"/>
  <c r="M35" i="14"/>
  <c r="K35" i="14"/>
  <c r="I35" i="14"/>
  <c r="G35" i="14"/>
  <c r="E35" i="14"/>
  <c r="C35" i="14"/>
  <c r="F33" i="9"/>
  <c r="F36" i="9"/>
  <c r="F32" i="9"/>
  <c r="F30" i="9"/>
  <c r="F28" i="9"/>
  <c r="F26" i="9"/>
  <c r="F39" i="9"/>
  <c r="F37" i="9"/>
  <c r="F35" i="9"/>
  <c r="F31" i="9"/>
  <c r="F29" i="9"/>
  <c r="F27" i="9"/>
  <c r="F25" i="9"/>
  <c r="F38" i="9"/>
  <c r="C39" i="9"/>
  <c r="C37" i="9"/>
  <c r="C33" i="9"/>
  <c r="C31" i="9"/>
  <c r="C27" i="9"/>
  <c r="C36" i="9"/>
  <c r="C32" i="9"/>
  <c r="C30" i="9"/>
  <c r="C28" i="9"/>
  <c r="C26" i="9"/>
  <c r="C35" i="9"/>
  <c r="C29" i="9"/>
  <c r="C25" i="9"/>
  <c r="C38" i="9"/>
  <c r="F40" i="12"/>
  <c r="F38" i="12"/>
  <c r="F36" i="12"/>
  <c r="F34" i="12"/>
  <c r="F32" i="12"/>
  <c r="F30" i="12"/>
  <c r="F28" i="12"/>
  <c r="F26" i="12"/>
  <c r="F39" i="12"/>
  <c r="F37" i="12"/>
  <c r="F33" i="12"/>
  <c r="F31" i="12"/>
  <c r="F29" i="12"/>
  <c r="F27" i="12"/>
  <c r="F35" i="12"/>
  <c r="C40" i="12"/>
  <c r="C38" i="12"/>
  <c r="C36" i="12"/>
  <c r="C34" i="12"/>
  <c r="C32" i="12"/>
  <c r="C30" i="12"/>
  <c r="C28" i="12"/>
  <c r="C26" i="12"/>
  <c r="C37" i="12"/>
  <c r="C33" i="12"/>
  <c r="C31" i="12"/>
  <c r="C29" i="12"/>
  <c r="C27" i="12"/>
  <c r="C39" i="12"/>
  <c r="B24" i="14"/>
  <c r="B25" i="14"/>
  <c r="B26" i="14"/>
  <c r="B27" i="14"/>
  <c r="B28" i="14"/>
  <c r="B29" i="14"/>
  <c r="B30" i="14"/>
  <c r="D24" i="14"/>
  <c r="D25" i="14"/>
  <c r="D26" i="14"/>
  <c r="D27" i="14"/>
  <c r="D28" i="14"/>
  <c r="D29" i="14"/>
  <c r="D30" i="14"/>
  <c r="D23" i="14"/>
  <c r="F24" i="14"/>
  <c r="F25" i="14"/>
  <c r="F26" i="14"/>
  <c r="F27" i="14"/>
  <c r="F28" i="14"/>
  <c r="F29" i="14"/>
  <c r="F30" i="14"/>
  <c r="F23" i="14"/>
  <c r="H24" i="14"/>
  <c r="H25" i="14"/>
  <c r="H26" i="14"/>
  <c r="H27" i="14"/>
  <c r="H28" i="14"/>
  <c r="H29" i="14"/>
  <c r="H30" i="14"/>
  <c r="H23" i="14"/>
  <c r="J24" i="14"/>
  <c r="J25" i="14"/>
  <c r="J26" i="14"/>
  <c r="J27" i="14"/>
  <c r="J28" i="14"/>
  <c r="J29" i="14"/>
  <c r="J30" i="14"/>
  <c r="J23" i="14"/>
  <c r="L24" i="14"/>
  <c r="L25" i="14"/>
  <c r="L26" i="14"/>
  <c r="L27" i="14"/>
  <c r="L28" i="14"/>
  <c r="L29" i="14"/>
  <c r="L30" i="14"/>
  <c r="L23" i="14"/>
  <c r="N24" i="14"/>
  <c r="N25" i="14"/>
  <c r="N26" i="14"/>
  <c r="N27" i="14"/>
  <c r="N28" i="14"/>
  <c r="N29" i="14"/>
  <c r="N30" i="14"/>
  <c r="N23" i="14"/>
  <c r="V24" i="14"/>
  <c r="V25" i="14"/>
  <c r="V26" i="14"/>
  <c r="V27" i="14"/>
  <c r="V28" i="14"/>
  <c r="V29" i="14"/>
  <c r="V30" i="14"/>
  <c r="T24" i="14"/>
  <c r="T25" i="14"/>
  <c r="T26" i="14"/>
  <c r="T27" i="14"/>
  <c r="T28" i="14"/>
  <c r="T29" i="14"/>
  <c r="T30" i="14"/>
  <c r="R24" i="14"/>
  <c r="R25" i="14"/>
  <c r="R26" i="14"/>
  <c r="R27" i="14"/>
  <c r="R28" i="14"/>
  <c r="R29" i="14"/>
  <c r="R30" i="14"/>
  <c r="R23" i="14"/>
  <c r="P24" i="14"/>
  <c r="P25" i="14"/>
  <c r="P26" i="14"/>
  <c r="P27" i="14"/>
  <c r="P28" i="14"/>
  <c r="P29" i="14"/>
  <c r="P30" i="14"/>
  <c r="P23" i="14"/>
  <c r="D32" i="14"/>
  <c r="F32" i="14"/>
  <c r="H32" i="14"/>
  <c r="J32" i="14"/>
  <c r="L32" i="14"/>
  <c r="N32" i="14"/>
  <c r="P32" i="14"/>
  <c r="R32" i="14"/>
  <c r="T32" i="14"/>
  <c r="V32" i="14"/>
  <c r="C33" i="14"/>
  <c r="E33" i="14"/>
  <c r="G33" i="14"/>
  <c r="I33" i="14"/>
  <c r="K33" i="14"/>
  <c r="M33" i="14"/>
  <c r="O33" i="14"/>
  <c r="Q33" i="14"/>
  <c r="S33" i="14"/>
  <c r="U33" i="14"/>
  <c r="W33" i="14"/>
  <c r="D34" i="14"/>
  <c r="F34" i="14"/>
  <c r="H34" i="14"/>
  <c r="J34" i="14"/>
  <c r="L34" i="14"/>
  <c r="N34" i="14"/>
  <c r="P34" i="14"/>
  <c r="R34" i="14"/>
  <c r="T34" i="14"/>
  <c r="V34" i="14"/>
  <c r="B23" i="14"/>
  <c r="B32" i="14"/>
  <c r="B33" i="14"/>
  <c r="B36" i="14"/>
  <c r="V23" i="14"/>
  <c r="T23" i="14"/>
  <c r="C23" i="14"/>
  <c r="C24" i="14"/>
  <c r="C25" i="14"/>
  <c r="C26" i="14"/>
  <c r="C27" i="14"/>
  <c r="C28" i="14"/>
  <c r="C29" i="14"/>
  <c r="C30" i="14"/>
  <c r="E23" i="14"/>
  <c r="E24" i="14"/>
  <c r="E25" i="14"/>
  <c r="E26" i="14"/>
  <c r="E27" i="14"/>
  <c r="E28" i="14"/>
  <c r="E29" i="14"/>
  <c r="E30" i="14"/>
  <c r="G23" i="14"/>
  <c r="G24" i="14"/>
  <c r="G25" i="14"/>
  <c r="G26" i="14"/>
  <c r="G27" i="14"/>
  <c r="G28" i="14"/>
  <c r="G29" i="14"/>
  <c r="G30" i="14"/>
  <c r="I23" i="14"/>
  <c r="I24" i="14"/>
  <c r="I25" i="14"/>
  <c r="I26" i="14"/>
  <c r="I27" i="14"/>
  <c r="I28" i="14"/>
  <c r="I29" i="14"/>
  <c r="I30" i="14"/>
  <c r="K23" i="14"/>
  <c r="K24" i="14"/>
  <c r="K25" i="14"/>
  <c r="K26" i="14"/>
  <c r="K27" i="14"/>
  <c r="K28" i="14"/>
  <c r="K29" i="14"/>
  <c r="K30" i="14"/>
  <c r="M23" i="14"/>
  <c r="M24" i="14"/>
  <c r="M25" i="14"/>
  <c r="M26" i="14"/>
  <c r="M27" i="14"/>
  <c r="M28" i="14"/>
  <c r="M29" i="14"/>
  <c r="M30" i="14"/>
  <c r="W24" i="14"/>
  <c r="W25" i="14"/>
  <c r="W26" i="14"/>
  <c r="W27" i="14"/>
  <c r="W28" i="14"/>
  <c r="W29" i="14"/>
  <c r="W30" i="14"/>
  <c r="U24" i="14"/>
  <c r="U25" i="14"/>
  <c r="U26" i="14"/>
  <c r="U27" i="14"/>
  <c r="U28" i="14"/>
  <c r="U29" i="14"/>
  <c r="U30" i="14"/>
  <c r="S24" i="14"/>
  <c r="S25" i="14"/>
  <c r="S26" i="14"/>
  <c r="S27" i="14"/>
  <c r="S28" i="14"/>
  <c r="S29" i="14"/>
  <c r="S30" i="14"/>
  <c r="Q23" i="14"/>
  <c r="Q24" i="14"/>
  <c r="Q25" i="14"/>
  <c r="Q26" i="14"/>
  <c r="Q27" i="14"/>
  <c r="Q28" i="14"/>
  <c r="Q29" i="14"/>
  <c r="Q30" i="14"/>
  <c r="O23" i="14"/>
  <c r="O24" i="14"/>
  <c r="O25" i="14"/>
  <c r="O26" i="14"/>
  <c r="O27" i="14"/>
  <c r="O28" i="14"/>
  <c r="O29" i="14"/>
  <c r="O30" i="14"/>
  <c r="C32" i="14"/>
  <c r="E32" i="14"/>
  <c r="G32" i="14"/>
  <c r="I32" i="14"/>
  <c r="K32" i="14"/>
  <c r="M32" i="14"/>
  <c r="O32" i="14"/>
  <c r="Q32" i="14"/>
  <c r="S32" i="14"/>
  <c r="U32" i="14"/>
  <c r="W32" i="14"/>
  <c r="D33" i="14"/>
  <c r="F33" i="14"/>
  <c r="H33" i="14"/>
  <c r="J33" i="14"/>
  <c r="L33" i="14"/>
  <c r="N33" i="14"/>
  <c r="P33" i="14"/>
  <c r="R33" i="14"/>
  <c r="T33" i="14"/>
  <c r="V33" i="14"/>
  <c r="C34" i="14"/>
  <c r="E34" i="14"/>
  <c r="G34" i="14"/>
  <c r="I34" i="14"/>
  <c r="K34" i="14"/>
  <c r="M34" i="14"/>
  <c r="O34" i="14"/>
  <c r="Q34" i="14"/>
  <c r="S34" i="14"/>
  <c r="U34" i="14"/>
  <c r="W34" i="14"/>
  <c r="B34" i="14"/>
  <c r="B35" i="14"/>
  <c r="W23" i="14"/>
  <c r="U23" i="14"/>
  <c r="S23" i="14"/>
  <c r="B22" i="6"/>
  <c r="AO17" i="6"/>
  <c r="AO30" i="6" s="1"/>
  <c r="AM17" i="6"/>
  <c r="AK17" i="6"/>
  <c r="AK30" i="6" s="1"/>
  <c r="AI17" i="6"/>
  <c r="AG17" i="6"/>
  <c r="AG30" i="6" s="1"/>
  <c r="AE17" i="6"/>
  <c r="AC17" i="6"/>
  <c r="AC30" i="6" s="1"/>
  <c r="AA17" i="6"/>
  <c r="Y17" i="6"/>
  <c r="Y30" i="6" s="1"/>
  <c r="W17" i="6"/>
  <c r="U17" i="6"/>
  <c r="U30" i="6" s="1"/>
  <c r="S17" i="6"/>
  <c r="Q17" i="6"/>
  <c r="Q30" i="6" s="1"/>
  <c r="O17" i="6"/>
  <c r="M17" i="6"/>
  <c r="M30" i="6" s="1"/>
  <c r="K17" i="6"/>
  <c r="I17" i="6"/>
  <c r="I30" i="6" s="1"/>
  <c r="G17" i="6"/>
  <c r="E17" i="6"/>
  <c r="E30" i="6" s="1"/>
  <c r="C17" i="6"/>
  <c r="AN17" i="6"/>
  <c r="AJ17" i="6"/>
  <c r="AF17" i="6"/>
  <c r="AB17" i="6"/>
  <c r="X17" i="6"/>
  <c r="T17" i="6"/>
  <c r="D19" i="12"/>
  <c r="D39" i="12" s="1"/>
  <c r="E19" i="12"/>
  <c r="E35" i="12" s="1"/>
  <c r="D18" i="9"/>
  <c r="D38" i="9" s="1"/>
  <c r="E18" i="9"/>
  <c r="G18" i="9"/>
  <c r="G38" i="9" s="1"/>
  <c r="G19" i="12"/>
  <c r="G39" i="12" s="1"/>
  <c r="N18" i="12"/>
  <c r="M18" i="12"/>
  <c r="L18" i="12"/>
  <c r="K18" i="12"/>
  <c r="J18" i="12"/>
  <c r="I18" i="12"/>
  <c r="H18" i="12"/>
  <c r="B18" i="12"/>
  <c r="N14" i="12"/>
  <c r="M14" i="12"/>
  <c r="L14" i="12"/>
  <c r="K14" i="12"/>
  <c r="J14" i="12"/>
  <c r="I14" i="12"/>
  <c r="H14" i="12"/>
  <c r="B14" i="12"/>
  <c r="H17" i="9"/>
  <c r="I17" i="9"/>
  <c r="J17" i="9"/>
  <c r="K17" i="9"/>
  <c r="M17" i="9"/>
  <c r="N17" i="9"/>
  <c r="O17" i="9"/>
  <c r="P17" i="9"/>
  <c r="B17" i="9"/>
  <c r="H13" i="9"/>
  <c r="I13" i="9"/>
  <c r="J13" i="9"/>
  <c r="K13" i="9"/>
  <c r="M13" i="9"/>
  <c r="N13" i="9"/>
  <c r="O13" i="9"/>
  <c r="P13" i="9"/>
  <c r="B13" i="9"/>
  <c r="L16" i="9"/>
  <c r="L15" i="9"/>
  <c r="L14" i="9"/>
  <c r="L19" i="9"/>
  <c r="L20" i="9"/>
  <c r="L12" i="9"/>
  <c r="L11" i="9"/>
  <c r="L10" i="9"/>
  <c r="L9" i="9"/>
  <c r="L8" i="9"/>
  <c r="L7" i="9"/>
  <c r="L5" i="9"/>
  <c r="L4" i="9"/>
  <c r="L6" i="9"/>
  <c r="V27" i="6" l="1"/>
  <c r="V26" i="6"/>
  <c r="V25" i="6"/>
  <c r="V23" i="6"/>
  <c r="T23" i="6"/>
  <c r="T24" i="6"/>
  <c r="T25" i="6"/>
  <c r="T26" i="6"/>
  <c r="T27" i="6"/>
  <c r="T28" i="6"/>
  <c r="T29" i="6"/>
  <c r="T31" i="6"/>
  <c r="T32" i="6"/>
  <c r="T22" i="6"/>
  <c r="T33" i="6"/>
  <c r="T35" i="6"/>
  <c r="AB23" i="6"/>
  <c r="AB24" i="6"/>
  <c r="AB25" i="6"/>
  <c r="AB26" i="6"/>
  <c r="AB27" i="6"/>
  <c r="AB28" i="6"/>
  <c r="AB29" i="6"/>
  <c r="AB31" i="6"/>
  <c r="AB22" i="6"/>
  <c r="AB32" i="6"/>
  <c r="AB33" i="6"/>
  <c r="AB35" i="6"/>
  <c r="AJ23" i="6"/>
  <c r="AJ24" i="6"/>
  <c r="AJ25" i="6"/>
  <c r="AJ26" i="6"/>
  <c r="AJ27" i="6"/>
  <c r="AJ28" i="6"/>
  <c r="AJ29" i="6"/>
  <c r="AJ31" i="6"/>
  <c r="AJ22" i="6"/>
  <c r="AJ32" i="6"/>
  <c r="AJ33" i="6"/>
  <c r="AJ35" i="6"/>
  <c r="C23" i="6"/>
  <c r="C24" i="6"/>
  <c r="C25" i="6"/>
  <c r="C26" i="6"/>
  <c r="C27" i="6"/>
  <c r="C28" i="6"/>
  <c r="C29" i="6"/>
  <c r="C31" i="6"/>
  <c r="C33" i="6"/>
  <c r="C35" i="6"/>
  <c r="C32" i="6"/>
  <c r="C22" i="6"/>
  <c r="G23" i="6"/>
  <c r="G24" i="6"/>
  <c r="G25" i="6"/>
  <c r="G26" i="6"/>
  <c r="G27" i="6"/>
  <c r="G28" i="6"/>
  <c r="G29" i="6"/>
  <c r="G31" i="6"/>
  <c r="G33" i="6"/>
  <c r="G35" i="6"/>
  <c r="G32" i="6"/>
  <c r="G22" i="6"/>
  <c r="K23" i="6"/>
  <c r="K24" i="6"/>
  <c r="K25" i="6"/>
  <c r="K26" i="6"/>
  <c r="K27" i="6"/>
  <c r="K28" i="6"/>
  <c r="K29" i="6"/>
  <c r="K31" i="6"/>
  <c r="K33" i="6"/>
  <c r="K35" i="6"/>
  <c r="K32" i="6"/>
  <c r="K22" i="6"/>
  <c r="O23" i="6"/>
  <c r="O24" i="6"/>
  <c r="O25" i="6"/>
  <c r="O26" i="6"/>
  <c r="O27" i="6"/>
  <c r="O28" i="6"/>
  <c r="O29" i="6"/>
  <c r="O31" i="6"/>
  <c r="O33" i="6"/>
  <c r="O35" i="6"/>
  <c r="O32" i="6"/>
  <c r="O22" i="6"/>
  <c r="S23" i="6"/>
  <c r="S24" i="6"/>
  <c r="S25" i="6"/>
  <c r="S26" i="6"/>
  <c r="S27" i="6"/>
  <c r="S28" i="6"/>
  <c r="S29" i="6"/>
  <c r="S31" i="6"/>
  <c r="S33" i="6"/>
  <c r="S35" i="6"/>
  <c r="S32" i="6"/>
  <c r="S22" i="6"/>
  <c r="W23" i="6"/>
  <c r="W24" i="6"/>
  <c r="W25" i="6"/>
  <c r="W26" i="6"/>
  <c r="W27" i="6"/>
  <c r="W28" i="6"/>
  <c r="W29" i="6"/>
  <c r="W32" i="6"/>
  <c r="W33" i="6"/>
  <c r="W35" i="6"/>
  <c r="W31" i="6"/>
  <c r="W22" i="6"/>
  <c r="AA23" i="6"/>
  <c r="AA24" i="6"/>
  <c r="AA25" i="6"/>
  <c r="AA26" i="6"/>
  <c r="AA27" i="6"/>
  <c r="AA28" i="6"/>
  <c r="AA29" i="6"/>
  <c r="AA32" i="6"/>
  <c r="AA33" i="6"/>
  <c r="AA35" i="6"/>
  <c r="AA31" i="6"/>
  <c r="AA22" i="6"/>
  <c r="AE23" i="6"/>
  <c r="AE24" i="6"/>
  <c r="AE25" i="6"/>
  <c r="AE26" i="6"/>
  <c r="AE27" i="6"/>
  <c r="AE28" i="6"/>
  <c r="AE29" i="6"/>
  <c r="AE32" i="6"/>
  <c r="AE33" i="6"/>
  <c r="AE35" i="6"/>
  <c r="AE31" i="6"/>
  <c r="AE22" i="6"/>
  <c r="AI23" i="6"/>
  <c r="AI24" i="6"/>
  <c r="AI25" i="6"/>
  <c r="AI26" i="6"/>
  <c r="AI27" i="6"/>
  <c r="AI28" i="6"/>
  <c r="AI29" i="6"/>
  <c r="AI32" i="6"/>
  <c r="AI33" i="6"/>
  <c r="AI35" i="6"/>
  <c r="AI31" i="6"/>
  <c r="AI22" i="6"/>
  <c r="AM23" i="6"/>
  <c r="AM24" i="6"/>
  <c r="AM25" i="6"/>
  <c r="AM26" i="6"/>
  <c r="AM27" i="6"/>
  <c r="AM28" i="6"/>
  <c r="AM29" i="6"/>
  <c r="AM32" i="6"/>
  <c r="AM33" i="6"/>
  <c r="AM35" i="6"/>
  <c r="AM31" i="6"/>
  <c r="AM22" i="6"/>
  <c r="T34" i="6"/>
  <c r="AB34" i="6"/>
  <c r="AJ34" i="6"/>
  <c r="C34" i="6"/>
  <c r="G34" i="6"/>
  <c r="K34" i="6"/>
  <c r="O34" i="6"/>
  <c r="S34" i="6"/>
  <c r="W34" i="6"/>
  <c r="AA34" i="6"/>
  <c r="AE34" i="6"/>
  <c r="AI34" i="6"/>
  <c r="AM34" i="6"/>
  <c r="X23" i="6"/>
  <c r="X24" i="6"/>
  <c r="X25" i="6"/>
  <c r="X26" i="6"/>
  <c r="X27" i="6"/>
  <c r="X28" i="6"/>
  <c r="X29" i="6"/>
  <c r="X31" i="6"/>
  <c r="X22" i="6"/>
  <c r="X32" i="6"/>
  <c r="X33" i="6"/>
  <c r="X35" i="6"/>
  <c r="AF23" i="6"/>
  <c r="AF24" i="6"/>
  <c r="AF25" i="6"/>
  <c r="AF26" i="6"/>
  <c r="AF27" i="6"/>
  <c r="AF28" i="6"/>
  <c r="AF29" i="6"/>
  <c r="AF31" i="6"/>
  <c r="AF22" i="6"/>
  <c r="AF32" i="6"/>
  <c r="AF33" i="6"/>
  <c r="AF35" i="6"/>
  <c r="AN23" i="6"/>
  <c r="AN24" i="6"/>
  <c r="AN25" i="6"/>
  <c r="AN26" i="6"/>
  <c r="AN27" i="6"/>
  <c r="AN28" i="6"/>
  <c r="AN29" i="6"/>
  <c r="AN31" i="6"/>
  <c r="AN22" i="6"/>
  <c r="AN32" i="6"/>
  <c r="AN33" i="6"/>
  <c r="AN35" i="6"/>
  <c r="E23" i="6"/>
  <c r="E24" i="6"/>
  <c r="E25" i="6"/>
  <c r="E26" i="6"/>
  <c r="E27" i="6"/>
  <c r="E28" i="6"/>
  <c r="E29" i="6"/>
  <c r="E31" i="6"/>
  <c r="E32" i="6"/>
  <c r="E33" i="6"/>
  <c r="E35" i="6"/>
  <c r="E22" i="6"/>
  <c r="I23" i="6"/>
  <c r="I24" i="6"/>
  <c r="I25" i="6"/>
  <c r="I26" i="6"/>
  <c r="I27" i="6"/>
  <c r="I28" i="6"/>
  <c r="I29" i="6"/>
  <c r="I31" i="6"/>
  <c r="I32" i="6"/>
  <c r="I33" i="6"/>
  <c r="I35" i="6"/>
  <c r="I22" i="6"/>
  <c r="M23" i="6"/>
  <c r="M24" i="6"/>
  <c r="M25" i="6"/>
  <c r="M26" i="6"/>
  <c r="M27" i="6"/>
  <c r="M28" i="6"/>
  <c r="M29" i="6"/>
  <c r="M31" i="6"/>
  <c r="M32" i="6"/>
  <c r="M33" i="6"/>
  <c r="M35" i="6"/>
  <c r="M22" i="6"/>
  <c r="Q23" i="6"/>
  <c r="Q24" i="6"/>
  <c r="Q25" i="6"/>
  <c r="Q26" i="6"/>
  <c r="Q27" i="6"/>
  <c r="Q28" i="6"/>
  <c r="Q29" i="6"/>
  <c r="Q31" i="6"/>
  <c r="Q32" i="6"/>
  <c r="Q33" i="6"/>
  <c r="Q35" i="6"/>
  <c r="Q22" i="6"/>
  <c r="U23" i="6"/>
  <c r="U24" i="6"/>
  <c r="U25" i="6"/>
  <c r="U26" i="6"/>
  <c r="U27" i="6"/>
  <c r="U28" i="6"/>
  <c r="U29" i="6"/>
  <c r="U31" i="6"/>
  <c r="U32" i="6"/>
  <c r="U33" i="6"/>
  <c r="U35" i="6"/>
  <c r="U22" i="6"/>
  <c r="Y23" i="6"/>
  <c r="Y24" i="6"/>
  <c r="Y25" i="6"/>
  <c r="Y26" i="6"/>
  <c r="Y27" i="6"/>
  <c r="Y28" i="6"/>
  <c r="Y29" i="6"/>
  <c r="Y31" i="6"/>
  <c r="Y32" i="6"/>
  <c r="Y33" i="6"/>
  <c r="Y35" i="6"/>
  <c r="Y22" i="6"/>
  <c r="AC23" i="6"/>
  <c r="AC24" i="6"/>
  <c r="AC25" i="6"/>
  <c r="AC26" i="6"/>
  <c r="AC27" i="6"/>
  <c r="AC28" i="6"/>
  <c r="AC29" i="6"/>
  <c r="AC31" i="6"/>
  <c r="AC32" i="6"/>
  <c r="AC33" i="6"/>
  <c r="AC35" i="6"/>
  <c r="AC22" i="6"/>
  <c r="AG23" i="6"/>
  <c r="AG24" i="6"/>
  <c r="AG25" i="6"/>
  <c r="AG26" i="6"/>
  <c r="AG27" i="6"/>
  <c r="AG28" i="6"/>
  <c r="AG29" i="6"/>
  <c r="AG31" i="6"/>
  <c r="AG32" i="6"/>
  <c r="AG33" i="6"/>
  <c r="AG35" i="6"/>
  <c r="AG22" i="6"/>
  <c r="AK23" i="6"/>
  <c r="AK24" i="6"/>
  <c r="AK25" i="6"/>
  <c r="AK26" i="6"/>
  <c r="AK27" i="6"/>
  <c r="AK28" i="6"/>
  <c r="AK29" i="6"/>
  <c r="AK31" i="6"/>
  <c r="AK32" i="6"/>
  <c r="AK33" i="6"/>
  <c r="AK35" i="6"/>
  <c r="AK22" i="6"/>
  <c r="AO23" i="6"/>
  <c r="AO24" i="6"/>
  <c r="AO25" i="6"/>
  <c r="AO26" i="6"/>
  <c r="AO27" i="6"/>
  <c r="AO28" i="6"/>
  <c r="AO29" i="6"/>
  <c r="AO31" i="6"/>
  <c r="AO32" i="6"/>
  <c r="AO33" i="6"/>
  <c r="AO35" i="6"/>
  <c r="AO22" i="6"/>
  <c r="T30" i="6"/>
  <c r="X30" i="6"/>
  <c r="AB30" i="6"/>
  <c r="AF30" i="6"/>
  <c r="AJ30" i="6"/>
  <c r="AN30" i="6"/>
  <c r="C30" i="6"/>
  <c r="G30" i="6"/>
  <c r="K30" i="6"/>
  <c r="O30" i="6"/>
  <c r="S30" i="6"/>
  <c r="W30" i="6"/>
  <c r="AA30" i="6"/>
  <c r="AE30" i="6"/>
  <c r="AI30" i="6"/>
  <c r="AM30" i="6"/>
  <c r="X34" i="6"/>
  <c r="AF34" i="6"/>
  <c r="AN34" i="6"/>
  <c r="E34" i="6"/>
  <c r="I34" i="6"/>
  <c r="M34" i="6"/>
  <c r="Q34" i="6"/>
  <c r="U34" i="6"/>
  <c r="Y34" i="6"/>
  <c r="AC34" i="6"/>
  <c r="AG34" i="6"/>
  <c r="AK34" i="6"/>
  <c r="AO34" i="6"/>
  <c r="N18" i="9"/>
  <c r="E40" i="12"/>
  <c r="E38" i="12"/>
  <c r="E37" i="12"/>
  <c r="E36" i="12"/>
  <c r="E34" i="12"/>
  <c r="E33" i="12"/>
  <c r="E32" i="12"/>
  <c r="E31" i="12"/>
  <c r="E30" i="12"/>
  <c r="E29" i="12"/>
  <c r="E28" i="12"/>
  <c r="E27" i="12"/>
  <c r="E26" i="12"/>
  <c r="E39" i="12"/>
  <c r="D40" i="12"/>
  <c r="D38" i="12"/>
  <c r="D37" i="12"/>
  <c r="D36" i="12"/>
  <c r="D34" i="12"/>
  <c r="D33" i="12"/>
  <c r="D32" i="12"/>
  <c r="D31" i="12"/>
  <c r="D30" i="12"/>
  <c r="D29" i="12"/>
  <c r="D28" i="12"/>
  <c r="D27" i="12"/>
  <c r="D26" i="12"/>
  <c r="D35" i="12"/>
  <c r="E39" i="9"/>
  <c r="E37" i="9"/>
  <c r="E36" i="9"/>
  <c r="E35" i="9"/>
  <c r="E33" i="9"/>
  <c r="E32" i="9"/>
  <c r="E31" i="9"/>
  <c r="E30" i="9"/>
  <c r="E29" i="9"/>
  <c r="E28" i="9"/>
  <c r="E27" i="9"/>
  <c r="E26" i="9"/>
  <c r="E25" i="9"/>
  <c r="E38" i="9"/>
  <c r="D39" i="9"/>
  <c r="D37" i="9"/>
  <c r="D36" i="9"/>
  <c r="D35" i="9"/>
  <c r="D33" i="9"/>
  <c r="D32" i="9"/>
  <c r="D31" i="9"/>
  <c r="D30" i="9"/>
  <c r="D29" i="9"/>
  <c r="D28" i="9"/>
  <c r="D27" i="9"/>
  <c r="D26" i="9"/>
  <c r="D25" i="9"/>
  <c r="E34" i="9"/>
  <c r="D34" i="9"/>
  <c r="L13" i="9"/>
  <c r="L17" i="9"/>
  <c r="N26" i="9"/>
  <c r="N27" i="9"/>
  <c r="N28" i="9"/>
  <c r="N29" i="9"/>
  <c r="N30" i="9"/>
  <c r="N31" i="9"/>
  <c r="N32" i="9"/>
  <c r="N33" i="9"/>
  <c r="K18" i="9"/>
  <c r="K34" i="9" s="1"/>
  <c r="I18" i="9"/>
  <c r="I38" i="9" s="1"/>
  <c r="N25" i="9"/>
  <c r="N37" i="9"/>
  <c r="N35" i="9"/>
  <c r="P18" i="9"/>
  <c r="P38" i="9" s="1"/>
  <c r="O18" i="9"/>
  <c r="O34" i="9" s="1"/>
  <c r="M18" i="9"/>
  <c r="M38" i="9" s="1"/>
  <c r="J18" i="9"/>
  <c r="J34" i="9" s="1"/>
  <c r="H18" i="9"/>
  <c r="H38" i="9" s="1"/>
  <c r="N39" i="9"/>
  <c r="N38" i="9"/>
  <c r="N36" i="9"/>
  <c r="N34" i="9"/>
  <c r="G39" i="9"/>
  <c r="G37" i="9"/>
  <c r="G35" i="9"/>
  <c r="G33" i="9"/>
  <c r="G31" i="9"/>
  <c r="G29" i="9"/>
  <c r="G27" i="9"/>
  <c r="G25" i="9"/>
  <c r="G36" i="9"/>
  <c r="G32" i="9"/>
  <c r="G30" i="9"/>
  <c r="G28" i="9"/>
  <c r="G26" i="9"/>
  <c r="G34" i="9"/>
  <c r="G40" i="12"/>
  <c r="G38" i="12"/>
  <c r="G36" i="12"/>
  <c r="G34" i="12"/>
  <c r="G32" i="12"/>
  <c r="G30" i="12"/>
  <c r="G28" i="12"/>
  <c r="G26" i="12"/>
  <c r="G37" i="12"/>
  <c r="G33" i="12"/>
  <c r="G31" i="12"/>
  <c r="G29" i="12"/>
  <c r="G27" i="12"/>
  <c r="G35" i="12"/>
  <c r="H19" i="12"/>
  <c r="J19" i="12"/>
  <c r="J35" i="12" s="1"/>
  <c r="L19" i="12"/>
  <c r="N19" i="12"/>
  <c r="N35" i="12" s="1"/>
  <c r="B19" i="12"/>
  <c r="I19" i="12"/>
  <c r="K19" i="12"/>
  <c r="K39" i="12" s="1"/>
  <c r="M19" i="12"/>
  <c r="B18" i="9"/>
  <c r="L18" i="9" l="1"/>
  <c r="L39" i="9" s="1"/>
  <c r="B26" i="9"/>
  <c r="B28" i="9"/>
  <c r="B30" i="9"/>
  <c r="B32" i="9"/>
  <c r="B36" i="9"/>
  <c r="B38" i="9"/>
  <c r="B27" i="9"/>
  <c r="B29" i="9"/>
  <c r="B31" i="9"/>
  <c r="B33" i="9"/>
  <c r="B35" i="9"/>
  <c r="B37" i="9"/>
  <c r="B39" i="9"/>
  <c r="H34" i="9"/>
  <c r="M34" i="9"/>
  <c r="P34" i="9"/>
  <c r="L25" i="9"/>
  <c r="I34" i="9"/>
  <c r="L33" i="9"/>
  <c r="L34" i="9"/>
  <c r="B34" i="9"/>
  <c r="H26" i="9"/>
  <c r="H27" i="9"/>
  <c r="H28" i="9"/>
  <c r="H29" i="9"/>
  <c r="H30" i="9"/>
  <c r="H31" i="9"/>
  <c r="H32" i="9"/>
  <c r="H33" i="9"/>
  <c r="H35" i="9"/>
  <c r="H37" i="9"/>
  <c r="H39" i="9"/>
  <c r="H36" i="9"/>
  <c r="H25" i="9"/>
  <c r="J26" i="9"/>
  <c r="J27" i="9"/>
  <c r="J28" i="9"/>
  <c r="J29" i="9"/>
  <c r="J30" i="9"/>
  <c r="J31" i="9"/>
  <c r="J32" i="9"/>
  <c r="J33" i="9"/>
  <c r="J36" i="9"/>
  <c r="J39" i="9"/>
  <c r="J35" i="9"/>
  <c r="J37" i="9"/>
  <c r="J25" i="9"/>
  <c r="M26" i="9"/>
  <c r="M27" i="9"/>
  <c r="M28" i="9"/>
  <c r="M29" i="9"/>
  <c r="M30" i="9"/>
  <c r="M31" i="9"/>
  <c r="M32" i="9"/>
  <c r="M33" i="9"/>
  <c r="M35" i="9"/>
  <c r="M36" i="9"/>
  <c r="M37" i="9"/>
  <c r="M25" i="9"/>
  <c r="M39" i="9"/>
  <c r="O26" i="9"/>
  <c r="O27" i="9"/>
  <c r="O28" i="9"/>
  <c r="O29" i="9"/>
  <c r="O30" i="9"/>
  <c r="O31" i="9"/>
  <c r="O32" i="9"/>
  <c r="O33" i="9"/>
  <c r="O35" i="9"/>
  <c r="O36" i="9"/>
  <c r="O37" i="9"/>
  <c r="O25" i="9"/>
  <c r="O39" i="9"/>
  <c r="P26" i="9"/>
  <c r="P27" i="9"/>
  <c r="P28" i="9"/>
  <c r="P29" i="9"/>
  <c r="P30" i="9"/>
  <c r="P31" i="9"/>
  <c r="P32" i="9"/>
  <c r="P33" i="9"/>
  <c r="P35" i="9"/>
  <c r="P36" i="9"/>
  <c r="P37" i="9"/>
  <c r="P25" i="9"/>
  <c r="P39" i="9"/>
  <c r="I26" i="9"/>
  <c r="I27" i="9"/>
  <c r="I28" i="9"/>
  <c r="I29" i="9"/>
  <c r="I30" i="9"/>
  <c r="I31" i="9"/>
  <c r="I32" i="9"/>
  <c r="I33" i="9"/>
  <c r="I35" i="9"/>
  <c r="I36" i="9"/>
  <c r="I37" i="9"/>
  <c r="I25" i="9"/>
  <c r="I39" i="9"/>
  <c r="K26" i="9"/>
  <c r="K27" i="9"/>
  <c r="K28" i="9"/>
  <c r="K29" i="9"/>
  <c r="K30" i="9"/>
  <c r="K31" i="9"/>
  <c r="K32" i="9"/>
  <c r="K33" i="9"/>
  <c r="K35" i="9"/>
  <c r="K36" i="9"/>
  <c r="K37" i="9"/>
  <c r="K25" i="9"/>
  <c r="K39" i="9"/>
  <c r="J38" i="9"/>
  <c r="O38" i="9"/>
  <c r="L37" i="9"/>
  <c r="K38" i="9"/>
  <c r="L36" i="9"/>
  <c r="L27" i="12"/>
  <c r="L29" i="12"/>
  <c r="L31" i="12"/>
  <c r="L33" i="12"/>
  <c r="L37" i="12"/>
  <c r="L28" i="12"/>
  <c r="L32" i="12"/>
  <c r="L36" i="12"/>
  <c r="L40" i="12"/>
  <c r="L26" i="12"/>
  <c r="L30" i="12"/>
  <c r="L34" i="12"/>
  <c r="L38" i="12"/>
  <c r="H27" i="12"/>
  <c r="H29" i="12"/>
  <c r="H31" i="12"/>
  <c r="H33" i="12"/>
  <c r="H37" i="12"/>
  <c r="H28" i="12"/>
  <c r="H32" i="12"/>
  <c r="H36" i="12"/>
  <c r="H40" i="12"/>
  <c r="H26" i="12"/>
  <c r="H30" i="12"/>
  <c r="H34" i="12"/>
  <c r="H38" i="12"/>
  <c r="M28" i="12"/>
  <c r="M30" i="12"/>
  <c r="M32" i="12"/>
  <c r="M34" i="12"/>
  <c r="M36" i="12"/>
  <c r="M38" i="12"/>
  <c r="M27" i="12"/>
  <c r="M31" i="12"/>
  <c r="M29" i="12"/>
  <c r="M33" i="12"/>
  <c r="M37" i="12"/>
  <c r="M40" i="12"/>
  <c r="M26" i="12"/>
  <c r="I28" i="12"/>
  <c r="I30" i="12"/>
  <c r="I32" i="12"/>
  <c r="I34" i="12"/>
  <c r="I36" i="12"/>
  <c r="I38" i="12"/>
  <c r="I27" i="12"/>
  <c r="I31" i="12"/>
  <c r="I29" i="12"/>
  <c r="I33" i="12"/>
  <c r="I37" i="12"/>
  <c r="I40" i="12"/>
  <c r="I26" i="12"/>
  <c r="B27" i="12"/>
  <c r="B29" i="12"/>
  <c r="B31" i="12"/>
  <c r="B33" i="12"/>
  <c r="B37" i="12"/>
  <c r="B28" i="12"/>
  <c r="B32" i="12"/>
  <c r="B36" i="12"/>
  <c r="B40" i="12"/>
  <c r="B30" i="12"/>
  <c r="B34" i="12"/>
  <c r="B38" i="12"/>
  <c r="B26" i="12"/>
  <c r="J27" i="12"/>
  <c r="J29" i="12"/>
  <c r="J31" i="12"/>
  <c r="J33" i="12"/>
  <c r="J37" i="12"/>
  <c r="J30" i="12"/>
  <c r="J34" i="12"/>
  <c r="J38" i="12"/>
  <c r="J40" i="12"/>
  <c r="J26" i="12"/>
  <c r="J28" i="12"/>
  <c r="J32" i="12"/>
  <c r="J36" i="12"/>
  <c r="J39" i="12"/>
  <c r="L35" i="12"/>
  <c r="H35" i="12"/>
  <c r="B35" i="12"/>
  <c r="I35" i="12"/>
  <c r="K28" i="12"/>
  <c r="K30" i="12"/>
  <c r="K32" i="12"/>
  <c r="K34" i="12"/>
  <c r="K36" i="12"/>
  <c r="K38" i="12"/>
  <c r="K29" i="12"/>
  <c r="K33" i="12"/>
  <c r="K37" i="12"/>
  <c r="K27" i="12"/>
  <c r="K31" i="12"/>
  <c r="K35" i="12"/>
  <c r="K40" i="12"/>
  <c r="K26" i="12"/>
  <c r="N27" i="12"/>
  <c r="N29" i="12"/>
  <c r="N31" i="12"/>
  <c r="N33" i="12"/>
  <c r="N37" i="12"/>
  <c r="N28" i="12"/>
  <c r="N32" i="12"/>
  <c r="N36" i="12"/>
  <c r="N40" i="12"/>
  <c r="N26" i="12"/>
  <c r="N30" i="12"/>
  <c r="N34" i="12"/>
  <c r="N38" i="12"/>
  <c r="N39" i="12"/>
  <c r="L39" i="12"/>
  <c r="H39" i="12"/>
  <c r="B39" i="12"/>
  <c r="M35" i="12"/>
  <c r="M39" i="12"/>
  <c r="I39" i="12"/>
  <c r="B25" i="9"/>
  <c r="L38" i="9" l="1"/>
  <c r="L27" i="9"/>
  <c r="L30" i="9"/>
  <c r="L26" i="9"/>
  <c r="L29" i="9"/>
  <c r="L32" i="9"/>
  <c r="L31" i="9"/>
  <c r="L35" i="9"/>
  <c r="L28" i="9"/>
</calcChain>
</file>

<file path=xl/sharedStrings.xml><?xml version="1.0" encoding="utf-8"?>
<sst xmlns="http://schemas.openxmlformats.org/spreadsheetml/2006/main" count="2258" uniqueCount="508">
  <si>
    <t>Designador</t>
  </si>
  <si>
    <t>Numero Horas</t>
  </si>
  <si>
    <t>Numero Vuelos</t>
  </si>
  <si>
    <t>A320</t>
  </si>
  <si>
    <t>B762</t>
  </si>
  <si>
    <t>BE9L</t>
  </si>
  <si>
    <t>B350</t>
  </si>
  <si>
    <t>B800</t>
  </si>
  <si>
    <t>C550</t>
  </si>
  <si>
    <t>C560</t>
  </si>
  <si>
    <t>B737</t>
  </si>
  <si>
    <t>DHC6</t>
  </si>
  <si>
    <t>JS32</t>
  </si>
  <si>
    <t>B732</t>
  </si>
  <si>
    <t>DH8B</t>
  </si>
  <si>
    <t>DH8D</t>
  </si>
  <si>
    <t>A318</t>
  </si>
  <si>
    <t>A319</t>
  </si>
  <si>
    <t>A332</t>
  </si>
  <si>
    <t>B763</t>
  </si>
  <si>
    <t>F100</t>
  </si>
  <si>
    <t>F50</t>
  </si>
  <si>
    <t>MD83</t>
  </si>
  <si>
    <t>B744</t>
  </si>
  <si>
    <t>E190</t>
  </si>
  <si>
    <t>JS41</t>
  </si>
  <si>
    <t>MD81</t>
  </si>
  <si>
    <t>B742</t>
  </si>
  <si>
    <t>B722</t>
  </si>
  <si>
    <t>A109</t>
  </si>
  <si>
    <t>A119</t>
  </si>
  <si>
    <t>B212</t>
  </si>
  <si>
    <t>B412</t>
  </si>
  <si>
    <t>B721</t>
  </si>
  <si>
    <t>C180</t>
  </si>
  <si>
    <t>C188</t>
  </si>
  <si>
    <t>B190</t>
  </si>
  <si>
    <t>LJ60</t>
  </si>
  <si>
    <t>AN26</t>
  </si>
  <si>
    <t>AN32</t>
  </si>
  <si>
    <t>DC3</t>
  </si>
  <si>
    <t>C170</t>
  </si>
  <si>
    <t>C182</t>
  </si>
  <si>
    <t>C206</t>
  </si>
  <si>
    <t>PA25</t>
  </si>
  <si>
    <t>PA36</t>
  </si>
  <si>
    <t>A188</t>
  </si>
  <si>
    <t>AC90</t>
  </si>
  <si>
    <t>SS2P</t>
  </si>
  <si>
    <t>AT43</t>
  </si>
  <si>
    <t>AT3P</t>
  </si>
  <si>
    <t>SS2T</t>
  </si>
  <si>
    <t>C172</t>
  </si>
  <si>
    <t>PA28</t>
  </si>
  <si>
    <t>PA31</t>
  </si>
  <si>
    <t>PA32</t>
  </si>
  <si>
    <t>PA34</t>
  </si>
  <si>
    <t>BN2A</t>
  </si>
  <si>
    <t>BN2B</t>
  </si>
  <si>
    <t>C210</t>
  </si>
  <si>
    <t>C414</t>
  </si>
  <si>
    <t>C421</t>
  </si>
  <si>
    <t>PA23</t>
  </si>
  <si>
    <t>B06</t>
  </si>
  <si>
    <t>BER2</t>
  </si>
  <si>
    <t>MC90</t>
  </si>
  <si>
    <t>AS50</t>
  </si>
  <si>
    <t>R44</t>
  </si>
  <si>
    <t>C303</t>
  </si>
  <si>
    <t>H500</t>
  </si>
  <si>
    <t>MI8</t>
  </si>
  <si>
    <t>C208</t>
  </si>
  <si>
    <t>B200</t>
  </si>
  <si>
    <t>H269</t>
  </si>
  <si>
    <t>BASS</t>
  </si>
  <si>
    <t>C185</t>
  </si>
  <si>
    <t>BE20</t>
  </si>
  <si>
    <t>BE40</t>
  </si>
  <si>
    <t>L410</t>
  </si>
  <si>
    <t>AS32</t>
  </si>
  <si>
    <t>B105</t>
  </si>
  <si>
    <t>C402</t>
  </si>
  <si>
    <t>EC45</t>
  </si>
  <si>
    <t>H25B</t>
  </si>
  <si>
    <t>R22</t>
  </si>
  <si>
    <t>Numero  
 Aeronaves</t>
  </si>
  <si>
    <t>COSTOS  TOTALES</t>
  </si>
  <si>
    <t xml:space="preserve">Total Tripulación Comando </t>
  </si>
  <si>
    <t xml:space="preserve">Total Tripulación Cabina </t>
  </si>
  <si>
    <t xml:space="preserve">Total Seguros </t>
  </si>
  <si>
    <t xml:space="preserve">Total Servicios Aeronaúticos </t>
  </si>
  <si>
    <t xml:space="preserve">Total Mantenimiento </t>
  </si>
  <si>
    <t xml:space="preserve">Total Servicio a Pasajeros </t>
  </si>
  <si>
    <t xml:space="preserve">Total Combustible </t>
  </si>
  <si>
    <t xml:space="preserve">Total Depreciación </t>
  </si>
  <si>
    <t xml:space="preserve">Total Arriendo </t>
  </si>
  <si>
    <t xml:space="preserve">Total Administración </t>
  </si>
  <si>
    <t xml:space="preserve">Total Ventas </t>
  </si>
  <si>
    <t xml:space="preserve">Total Financieros </t>
  </si>
  <si>
    <t xml:space="preserve">TRIPULACION </t>
  </si>
  <si>
    <t>SEGUROS</t>
  </si>
  <si>
    <t>SERV. AERON.</t>
  </si>
  <si>
    <t>MANTENIMIENTO</t>
  </si>
  <si>
    <t>SERV. A PAX</t>
  </si>
  <si>
    <t>COMBUSTIBLE</t>
  </si>
  <si>
    <t>DEPRECIACIÓN</t>
  </si>
  <si>
    <t>ARRIENDO</t>
  </si>
  <si>
    <t>TOTAL COSTOS DIRECTOS</t>
  </si>
  <si>
    <t>ADMINISTRACIÓN</t>
  </si>
  <si>
    <t>VENTAS</t>
  </si>
  <si>
    <t>FINANCIERO</t>
  </si>
  <si>
    <t>TOTAL COSTOS INDIRECTOS</t>
  </si>
  <si>
    <t>COSTOS TOTALES</t>
  </si>
  <si>
    <t>TOTAL No. HORAS</t>
  </si>
  <si>
    <t>TOTAL No. VUELOS</t>
  </si>
  <si>
    <t>TOTAL No. AERONAVES</t>
  </si>
  <si>
    <t>CONCEPTOS</t>
  </si>
  <si>
    <t>PRIMER SEMESTRE 2011</t>
  </si>
  <si>
    <t>PARTICIPACION</t>
  </si>
  <si>
    <t>SJ41</t>
  </si>
  <si>
    <t>TRIPUL CABINA</t>
  </si>
  <si>
    <t>Fuente: Empresas Aéreas</t>
  </si>
  <si>
    <t>Notas:</t>
  </si>
  <si>
    <t>La información que contiene este documento es el promedio ponderado por el No. De horas.</t>
  </si>
  <si>
    <t>La información fue suministrada por Ada - Aires - Avianca - Easyfly - Aerorepublica.</t>
  </si>
  <si>
    <t>SEGUNDO SEMESTRE 2011</t>
  </si>
  <si>
    <t>Total Combustible</t>
  </si>
  <si>
    <t>Total Servicios Aeronaúticos</t>
  </si>
  <si>
    <t>Total Administración</t>
  </si>
  <si>
    <t>Total Ventas</t>
  </si>
  <si>
    <t>Total Tripulación Comando</t>
  </si>
  <si>
    <t>TRABAJOS AEREOS ESPECIALES - COSTOS DE OPERACIÓN POR TIPO DE AERONAVE 
 I SEMESTRE 2011</t>
  </si>
  <si>
    <t>TRABAJOS AEREOS ESPECIALES - COSTOS DE OPERACIÓN POR TIPO DE AERONAVE 
 II SEMESTRE 2011</t>
  </si>
  <si>
    <t>Total Seguros</t>
  </si>
  <si>
    <t>Total Depreciación</t>
  </si>
  <si>
    <t>TRABAJOS AEREOS ESPECIALES - AVIACION AGRICOLA - COSTOS DE OPERACIÓN  II SEMESTRE 2011</t>
  </si>
  <si>
    <t>Total Mantenimiento</t>
  </si>
  <si>
    <t>Total Arriendo</t>
  </si>
  <si>
    <t>Total Financieros</t>
  </si>
  <si>
    <t>COSTOS DIRECTOS</t>
  </si>
  <si>
    <t>COSTOS INDIRECTOS</t>
  </si>
  <si>
    <t>I SEMESTRE DE 2011</t>
  </si>
  <si>
    <t xml:space="preserve">EMPRESAS DE TRANSPORTE AÉREO  COMERCIAL REGIONAL  - COSTOS DE OPERACIÓN POR TIPO DE AERONAVE  </t>
  </si>
  <si>
    <t>Fuente: Empresas de transporte aéreas SEARCA, AEXPA, TRANSPORTE AERÉO DE COLOMBIA.</t>
  </si>
  <si>
    <t>II SEMESTRE DE 2011</t>
  </si>
  <si>
    <t>I SEMESTRE 2011</t>
  </si>
  <si>
    <t xml:space="preserve">TRABAJOS AEREOS ESPECIALES - AVIACION AGRICOLA - COSTOS DE OPERACIÓN  </t>
  </si>
  <si>
    <t>Fuente: Empresas Aéreas KRE-6AD-6AF-GSE-LAX-LAU-SDK-SDV-TPA-AJT-TUS-CLX-FDX-FWL-MAA-VEC</t>
  </si>
  <si>
    <t>COSTOS DE OPERACIÓN POR TIPO DE AERONAVE  AÑO 2011</t>
  </si>
  <si>
    <t>EMPRESAS DE TRANSPORTE AÉREO  CARGA I SEMESTRE</t>
  </si>
  <si>
    <t>EMPRESAS DE TRANSPORTE AÉREO  CARGA II SEMESTRE</t>
  </si>
  <si>
    <t xml:space="preserve">EMPRESAS DE TRANSPORTE AÉREO  COMERCIAL REGIONAL  I SEMESTRE </t>
  </si>
  <si>
    <t>EMPRESAS DE TRANSPORTE AÉREO  COMERCIAL REGIONAL  II SEMESTRE</t>
  </si>
  <si>
    <t>EMPRESAS DE TRANSPORTE AÉREO PASAJEROS REGULAR NACIONAL  I SEMESTRE</t>
  </si>
  <si>
    <t xml:space="preserve">EMPRESAS DE TRANSPORTE AÉREO PASAJEROS REGULAR NACIONAL  II SEMESTRE </t>
  </si>
  <si>
    <t>EMPRESAS DE TRANSPORTE AÉREO - AEROTAXIS  I SEMESTRE</t>
  </si>
  <si>
    <t>EMPRESAS DE TRANSPORTE AÉREO - AEROTAXIS  II SEMESTRE</t>
  </si>
  <si>
    <t>TRABAJOS AEREOS ESPECIALES I SEMESTRE</t>
  </si>
  <si>
    <t>TRABAJOS AEREOS ESPECIALES II SEMESTRE</t>
  </si>
  <si>
    <t>TRABAJOS AEREOS ESPECIALES  - AVIACION AGRICOLA  - I SEMESTRE</t>
  </si>
  <si>
    <t>TRABAJOS AEREOS ESPECIALES  - AVIACION AGRICOLA  - II SEMESTRE</t>
  </si>
  <si>
    <t>PAG</t>
  </si>
  <si>
    <t>CONCEPTO</t>
  </si>
  <si>
    <t xml:space="preserve">TRANSPORTE AÉREO - AEROTAXIS  - COSTOS DE OPERACIÓN   -  II SEMESTRE DE 2011  </t>
  </si>
  <si>
    <t xml:space="preserve">EMPRESAS DE TRANSPORTE AÉREO - AEROTAXIS - COSTOS DE OPERACIÓN   -  I SEMESTRE DE 2011  </t>
  </si>
  <si>
    <t>EMPRESAS DE TRANSPORTE AÉREO  CARGA  - COSTOS DE OPERACIÓN POR TIPO DE AERONAVE -    II SEMESTRE DE 2011</t>
  </si>
  <si>
    <t>EMPRESAS DE TRANSPORTE AÉREO  CARGA  - COSTOS DE OPERACIÓN POR TIPO DE AERONAVE -   I SEMESTRE DE 2011</t>
  </si>
  <si>
    <t xml:space="preserve">EMPRESAS DE TRANSPORTE AÉREO PASAJEROS REGULAR NACIONAL   -  COSTOS DE OPERACIÓN POR TIPO DE AERONAVE   </t>
  </si>
  <si>
    <t>C O N T E N I D O</t>
  </si>
  <si>
    <t>COSTOS DE OPERACIÓN I  SEMESTRE DE 2011 POR DESIGNADOR</t>
  </si>
  <si>
    <t>Sigla</t>
  </si>
  <si>
    <t>Razon Social</t>
  </si>
  <si>
    <t>0BH</t>
  </si>
  <si>
    <t>COMPAÑIA AEROAGRICOLA GIRARDOT LTDA. "AGIL LTDA"</t>
  </si>
  <si>
    <t>0CB</t>
  </si>
  <si>
    <t>FADELCE LTDA. FUMIGACIONES AEREAS DEL CESAR</t>
  </si>
  <si>
    <t>0CK</t>
  </si>
  <si>
    <t>FARO LTDA. FUMIGACION AEREA DEL ORIENTE</t>
  </si>
  <si>
    <t>0BR</t>
  </si>
  <si>
    <t>COMPAÑIA AEROFUMIGACIONES CALIMA S.A.S. "CALIMA S.A.S."</t>
  </si>
  <si>
    <t>ODV</t>
  </si>
  <si>
    <t>AEROSERVICIOS MAJAGUAL LTDA "ASEM LTDA"</t>
  </si>
  <si>
    <t>0BM</t>
  </si>
  <si>
    <t>AERO SANIDAD AGRICOLA S. EN C.</t>
  </si>
  <si>
    <t>0BN</t>
  </si>
  <si>
    <t>AGRICOLA DE SERVICIOS AEREOS DEL META "ASAM LTDA"</t>
  </si>
  <si>
    <t>0BS</t>
  </si>
  <si>
    <t>0CC</t>
  </si>
  <si>
    <t>FAGA LTDA. FUMIGACIONES AEREAS GAVIOTAS CIA.</t>
  </si>
  <si>
    <t>0CI</t>
  </si>
  <si>
    <t>FARCA S.A. FUMIGACIONES AEREAS DE COLOMBIA</t>
  </si>
  <si>
    <t>0CJ</t>
  </si>
  <si>
    <t>FARI LTDA. FUMIGACIONES AEREAS DEL ARIARI</t>
  </si>
  <si>
    <t>0CW</t>
  </si>
  <si>
    <t>HELICE LTDA. FUMIGACION AEREA</t>
  </si>
  <si>
    <t>0DK</t>
  </si>
  <si>
    <t>SERVICIOS AEROAGRICOLAS DEL LLANO S.A.S SADELL S.A.S</t>
  </si>
  <si>
    <t>0DP</t>
  </si>
  <si>
    <t>COMERCIALIZADORA ECO LTDA.</t>
  </si>
  <si>
    <t>0DS</t>
  </si>
  <si>
    <t>FAGAN S. EN C." FUMIGACION AEREA LOS GAVANES</t>
  </si>
  <si>
    <t>0DU</t>
  </si>
  <si>
    <t>AEROTEC LTDA. ASPERSIONES TECNICAS DEL CAMPO</t>
  </si>
  <si>
    <t>0BE</t>
  </si>
  <si>
    <t>AEROPENORT LTDA. AGROPECUARIA DEL NORTE</t>
  </si>
  <si>
    <t>0BV</t>
  </si>
  <si>
    <t>0CP</t>
  </si>
  <si>
    <t>SERVICIOS AGRICOLAS FIBA S.A.,</t>
  </si>
  <si>
    <t>0DD</t>
  </si>
  <si>
    <t>SANIDAD VEGETAL CRUZ VERDE LTDA.</t>
  </si>
  <si>
    <t>0DH</t>
  </si>
  <si>
    <t>SANIDAD AEROAGRICOLA S A SIGLA SANAR S.A</t>
  </si>
  <si>
    <t>0DM</t>
  </si>
  <si>
    <t>SFA LTDA. SERVICIO DE FUMIGACION AEREA DEL CASANARE</t>
  </si>
  <si>
    <t>0DR</t>
  </si>
  <si>
    <t>SAO E.U. SERV AER ORIENTE EMP UNIPERSONAL</t>
  </si>
  <si>
    <t>0DY</t>
  </si>
  <si>
    <t>COMPAÑÍA COLOMBIANA DE AEROSERVICIOS CCA LTDA.</t>
  </si>
  <si>
    <t>SDK</t>
  </si>
  <si>
    <t>SDV</t>
  </si>
  <si>
    <t>SELVA LTDA". SERVICIO AEREO DEL VAUPES</t>
  </si>
  <si>
    <t>KRE</t>
  </si>
  <si>
    <t>AEROSUCRE S.A.</t>
  </si>
  <si>
    <t>LAU</t>
  </si>
  <si>
    <t>LINEAS AEREAS SURAMERICANAS S.A.</t>
  </si>
  <si>
    <t>GSE</t>
  </si>
  <si>
    <t>C. V. CARGO S. A. ANTES C. V. LOGISTICS S.A.</t>
  </si>
  <si>
    <t>B727</t>
  </si>
  <si>
    <t>AJT</t>
  </si>
  <si>
    <t>AMERIJET INTERNATIONAL COLOMBIA</t>
  </si>
  <si>
    <t>CLX</t>
  </si>
  <si>
    <t>CARGOLUX AIRLINES INTERNATIONAL S.A. SUCURSAL COLOMBIA.</t>
  </si>
  <si>
    <t>LAE</t>
  </si>
  <si>
    <t>LACOL LTDA." LINEAS AEREAS COLOMBIANAS</t>
  </si>
  <si>
    <t>MAA</t>
  </si>
  <si>
    <t>MASAIR. AEROTRANSPORTES MAS DE CARGA SUCURSAL COL.</t>
  </si>
  <si>
    <t>TUS</t>
  </si>
  <si>
    <t>ABSA AEROLINEAS BRASILERAS S.A</t>
  </si>
  <si>
    <t>6AD</t>
  </si>
  <si>
    <t>AIR COLOMBIA S. A.</t>
  </si>
  <si>
    <t>6AF</t>
  </si>
  <si>
    <t>ALIANSA S.A. AEROLINEAS ANDINAS</t>
  </si>
  <si>
    <t>FDX</t>
  </si>
  <si>
    <t>FEDERAL EXPRESS CORPORATION</t>
  </si>
  <si>
    <t>MPH</t>
  </si>
  <si>
    <t>MARTINAIR HOLLAND N.V.</t>
  </si>
  <si>
    <t>MOL1</t>
  </si>
  <si>
    <t>1GH</t>
  </si>
  <si>
    <t>AEROLINEA DEL CARIBE S. A.</t>
  </si>
  <si>
    <t>1CE</t>
  </si>
  <si>
    <t>AVIONES Y HELICOPTEROS DE COLOMBIA "AVIHECO S. A."</t>
  </si>
  <si>
    <t>1EH</t>
  </si>
  <si>
    <t>SEARCA S.A. SERVICIO AEREO DE CAPURGANA</t>
  </si>
  <si>
    <t>1FC</t>
  </si>
  <si>
    <t>TRANSPORTE AEREO DE COLOMBIA S.A.</t>
  </si>
  <si>
    <t>1FT</t>
  </si>
  <si>
    <t>AEXPA S.A. AEROEXPRESO DEL PACIFICO</t>
  </si>
  <si>
    <t>GLG</t>
  </si>
  <si>
    <t>AEROLINEAS GALAPAGOS S.A. AEROGAL SUCURSAL COLOMBIANA</t>
  </si>
  <si>
    <t>LPE</t>
  </si>
  <si>
    <t>LAN PERU S.A. "LPE"</t>
  </si>
  <si>
    <t>LRC</t>
  </si>
  <si>
    <t>LACSA LINEAS AEREAS COSTARRICENSES S.A.</t>
  </si>
  <si>
    <t>NKS</t>
  </si>
  <si>
    <t>SPIRIT AIRLINES INC</t>
  </si>
  <si>
    <t>TAE</t>
  </si>
  <si>
    <t>TAME LINEA AEREA DEL ECUADOR</t>
  </si>
  <si>
    <t>TPU</t>
  </si>
  <si>
    <t>TRANS AMERICAN AIR LINES S.A. SUCURSAL COL.</t>
  </si>
  <si>
    <t>AAL</t>
  </si>
  <si>
    <t>AMERICAN AIR LINES</t>
  </si>
  <si>
    <t>JBU</t>
  </si>
  <si>
    <t>JETBLUE AIRWAYS CORPORATION-SUCURSAL COLOMBIA</t>
  </si>
  <si>
    <t>A321</t>
  </si>
  <si>
    <t>A343</t>
  </si>
  <si>
    <t>ARG</t>
  </si>
  <si>
    <t>AEROLINEAS ARGENTINAS</t>
  </si>
  <si>
    <t>A346</t>
  </si>
  <si>
    <t>IBE</t>
  </si>
  <si>
    <t>AMX</t>
  </si>
  <si>
    <t>AEROVIAS DE MEXICO S. A. AEROMEXICO SUCURSAL COLOMBIA</t>
  </si>
  <si>
    <t>COA</t>
  </si>
  <si>
    <t>CONTINENTAL AIRLINES INC.</t>
  </si>
  <si>
    <t>DAL</t>
  </si>
  <si>
    <t>DELTA AIR LINES INC. SUCURSAL DE COLOMBIA</t>
  </si>
  <si>
    <t>B738</t>
  </si>
  <si>
    <t>B752</t>
  </si>
  <si>
    <t>ACA</t>
  </si>
  <si>
    <t>AIR CANADA SUCURSAL COLOMBIA</t>
  </si>
  <si>
    <t>LAN</t>
  </si>
  <si>
    <t>T204</t>
  </si>
  <si>
    <t>CUB</t>
  </si>
  <si>
    <t>COMPANIA NACIONAL CUBANA DE AVIACION.</t>
  </si>
  <si>
    <t>TAM</t>
  </si>
  <si>
    <t>TAM LINHAS AEREAS S A SUCURSAL COLOMBIA</t>
  </si>
  <si>
    <t>MD82</t>
  </si>
  <si>
    <t>INC</t>
  </si>
  <si>
    <t>INSEL AIR INTERNATIONAL B V SUCURSAL COLOMBIA</t>
  </si>
  <si>
    <t>ANQ</t>
  </si>
  <si>
    <t>AEROLINEA DE ANTIOQUIA S.A</t>
  </si>
  <si>
    <t>EFY</t>
  </si>
  <si>
    <t>HEL</t>
  </si>
  <si>
    <t>HELICOL S A S HELICOPTEROS NACIONALES DE COLOMBIA S.A.S.</t>
  </si>
  <si>
    <t>1GI</t>
  </si>
  <si>
    <t>NACIONAL DE AVIACION S. A.</t>
  </si>
  <si>
    <t>1GL</t>
  </si>
  <si>
    <t>1EN</t>
  </si>
  <si>
    <t>1BO</t>
  </si>
  <si>
    <t>1CG</t>
  </si>
  <si>
    <t>AVIONES DEL CESAR S.A.S, -AVIOCESAR S.A.S.</t>
  </si>
  <si>
    <t>1CV</t>
  </si>
  <si>
    <t>HELISERVICE LTDA.</t>
  </si>
  <si>
    <t>1CX</t>
  </si>
  <si>
    <t>HELICOPTEROS TERRITORIALES DE COLOMBIA S.A.S. HELITEC</t>
  </si>
  <si>
    <t>1DW</t>
  </si>
  <si>
    <t>SADI LTDA. SOCIEDAD AEREA DE IBAGUE</t>
  </si>
  <si>
    <t>1EE</t>
  </si>
  <si>
    <t>SASA S.A. SOCD AERONAUT DE SANTANDER.</t>
  </si>
  <si>
    <t>1FJ</t>
  </si>
  <si>
    <t>TECNIAEREAS DE COLOMBIA S A S</t>
  </si>
  <si>
    <t>1FQ</t>
  </si>
  <si>
    <t>AEROCHARTER ANDINA S. A.</t>
  </si>
  <si>
    <t>1FU</t>
  </si>
  <si>
    <t>HELISTAR S A S</t>
  </si>
  <si>
    <t>1GM</t>
  </si>
  <si>
    <t>DELTA HELICOPTEROS S. A.</t>
  </si>
  <si>
    <t>PHC</t>
  </si>
  <si>
    <t>PETROLEUM AVIATION AND SERVICES S.A.S</t>
  </si>
  <si>
    <t>1FN</t>
  </si>
  <si>
    <t>TAC LTDA. TAXI AEREO DE CALI</t>
  </si>
  <si>
    <t>1DS</t>
  </si>
  <si>
    <t>RIO SUR S. A.</t>
  </si>
  <si>
    <t>1ED</t>
  </si>
  <si>
    <t>SERVICIOS AEREOS PANAMERICANOS LIMITADA "SARPA LTDA"</t>
  </si>
  <si>
    <t>AJS</t>
  </si>
  <si>
    <t>CENTRAL CHARTER DE COLOMBIA S.A.</t>
  </si>
  <si>
    <t>1BP</t>
  </si>
  <si>
    <t>AEROLÍNEAS PETROLERAS S.A.S. SIGLA ALPES S.A.S.</t>
  </si>
  <si>
    <t>1DF</t>
  </si>
  <si>
    <t>LANS S.A.S. LINEAS AEREAS DEL NORTE DE SANTANDER S.A.S.</t>
  </si>
  <si>
    <t>1BC</t>
  </si>
  <si>
    <t>1BK</t>
  </si>
  <si>
    <t>ALAS LTDA.</t>
  </si>
  <si>
    <t>1AE</t>
  </si>
  <si>
    <t>AERO APOYO LTDA." TRANSPORTE AEREO DE APOYO PETROLERO</t>
  </si>
  <si>
    <t>1AM</t>
  </si>
  <si>
    <t>AEROTAXI DEL ORIENTE COLOMBIANO "AEROCOL S.A.S"</t>
  </si>
  <si>
    <t>1AS</t>
  </si>
  <si>
    <t>AEROMENEGUA LTDA. TAXI AEREO DEL ALTO MENEGUA</t>
  </si>
  <si>
    <t>1EG</t>
  </si>
  <si>
    <t>SAVIARE LTDA. SERVICIOS AEREOS DEL GUAVIARE</t>
  </si>
  <si>
    <t>1GK</t>
  </si>
  <si>
    <t>AEROESTAR LTDA</t>
  </si>
  <si>
    <t>1DY</t>
  </si>
  <si>
    <t>SAER LTDA. SERVICIO AEREO REGIONAL</t>
  </si>
  <si>
    <t>1BT</t>
  </si>
  <si>
    <t>ARO LTDA. AEROVIAS REGIONALES DEL ORIENTE</t>
  </si>
  <si>
    <t>1BE</t>
  </si>
  <si>
    <t>AERUPIA LTDA. AEROTAXI DEL UPIA</t>
  </si>
  <si>
    <t>1CM</t>
  </si>
  <si>
    <t>COMPAÑIA NAUTICA DE ORIENTE CONDOR S. A.</t>
  </si>
  <si>
    <t>1EQ</t>
  </si>
  <si>
    <t>TAERCO LTDA. TAXI AEREO COLOMBIANO</t>
  </si>
  <si>
    <t>1FR</t>
  </si>
  <si>
    <t>AEROEJECUTIVOS DE ANTIOQUIA S.A.</t>
  </si>
  <si>
    <t>1DO</t>
  </si>
  <si>
    <t>LLANERA DE AVIACION S. A.</t>
  </si>
  <si>
    <t>1FL</t>
  </si>
  <si>
    <t>VIAS AEREAS NACIONALES VIANA S.A.S.</t>
  </si>
  <si>
    <t>1GB</t>
  </si>
  <si>
    <t>HELIGOLFO S.A.</t>
  </si>
  <si>
    <t>F406</t>
  </si>
  <si>
    <t>1CP</t>
  </si>
  <si>
    <t>HELICOPTEROS Y AVIONES S.A.S. "HELIAV S.A.S."</t>
  </si>
  <si>
    <t>1FB</t>
  </si>
  <si>
    <t>TAXI AEREO CUSIANA LTDA.</t>
  </si>
  <si>
    <t>1AP</t>
  </si>
  <si>
    <t>AEROGALAN LTDA. LINEAS AEREAS GALAN</t>
  </si>
  <si>
    <t>3GH</t>
  </si>
  <si>
    <t>CHARTER DEL CARIBE S.A.</t>
  </si>
  <si>
    <t>1GC</t>
  </si>
  <si>
    <t>AEROEXPRESS S.A.S, ANTES S.A.</t>
  </si>
  <si>
    <t>OAA</t>
  </si>
  <si>
    <t>AERIAL SIGN S A S - AVIONES PUBLICITARIOS DE COLOMBIA S A S</t>
  </si>
  <si>
    <t>0AC</t>
  </si>
  <si>
    <t>AEROESTUDIOS LTDA.</t>
  </si>
  <si>
    <t>0AH</t>
  </si>
  <si>
    <t>FAL INGENIEROS S A S</t>
  </si>
  <si>
    <t>AVA</t>
  </si>
  <si>
    <t>AEROVIAS DEL CONTINENTE AMERICANO S.A. "AVIANCA S.A"</t>
  </si>
  <si>
    <t>ARE</t>
  </si>
  <si>
    <t>AIRES S.A." AEROVIAS DE INTEGRACION REGIONAL</t>
  </si>
  <si>
    <t>RPB</t>
  </si>
  <si>
    <t>AEROREPUBLICA S.A.</t>
  </si>
  <si>
    <t>COSTOS DE OPERACIÓN II SEMESTRE DE 2011 POR DESIGNADOR</t>
  </si>
  <si>
    <t>0DT</t>
  </si>
  <si>
    <t>SERVICIOS AEROAGRICOLAS DEL CASANARE S.A.S. SAAC S.A.S</t>
  </si>
  <si>
    <t>TAI</t>
  </si>
  <si>
    <t>TACA INTERNATIONAL AIRLINES S A SUCURSAL COLOMBIA</t>
  </si>
  <si>
    <t>AFR</t>
  </si>
  <si>
    <t>SOCIEDAD AIR FRANCE</t>
  </si>
  <si>
    <t>DLH</t>
  </si>
  <si>
    <t>DEUTSCHE LUFTHANSA AKTIENGESELLSCHAFT</t>
  </si>
  <si>
    <t>0CR</t>
  </si>
  <si>
    <t>0BT</t>
  </si>
  <si>
    <t>COMPAÑIA AERO AGRICOLA INTEGRAL S.A.S. "CAAISA"</t>
  </si>
  <si>
    <t>1FZ</t>
  </si>
  <si>
    <t>AERO CAPITAL LTDA.</t>
  </si>
  <si>
    <t>VEC</t>
  </si>
  <si>
    <t>VENSECAR INTERNACIONAL C. A. SUCURSAL COLOMBIA</t>
  </si>
  <si>
    <t>CMP</t>
  </si>
  <si>
    <t>COPA COMPANIA PANAMENA DE AVIACION S.A.</t>
  </si>
  <si>
    <t>FWL</t>
  </si>
  <si>
    <t>FLORIDA WEST INTERNATIONAL AIRWAYS INC. SUCURSAL COLOMBIA</t>
  </si>
  <si>
    <t>LAX</t>
  </si>
  <si>
    <t>LINEA AEREA CARGUERA DE COLOMBIA S.A. LANCO S. A.</t>
  </si>
  <si>
    <t>TPA</t>
  </si>
  <si>
    <t>1GO</t>
  </si>
  <si>
    <t>GLOBAL SERVICE AVIATION LTDA. GSA LTDA.</t>
  </si>
  <si>
    <t>1FS</t>
  </si>
  <si>
    <t>AEROLINEAS ALAS DE COLOMBIA LTDA.</t>
  </si>
  <si>
    <t>1EY</t>
  </si>
  <si>
    <t>TARI LTDA." TRANSPORTES AEREOS DEL ARIARI</t>
  </si>
  <si>
    <t>1GN</t>
  </si>
  <si>
    <t>LATINOAMERICANA DE SERVICIOS AEREO LASER AEREO S.A.S.</t>
  </si>
  <si>
    <t>1GP</t>
  </si>
  <si>
    <t>AERO TAXI GUAYMARAL ATG S.A.S.,</t>
  </si>
  <si>
    <t>0BP</t>
  </si>
  <si>
    <t>AVIOCOL LTDA." FUMIGACION AEREA</t>
  </si>
  <si>
    <t>0DQ</t>
  </si>
  <si>
    <t>AMA LTDA. AVIONES Y MAQUINARIAS AGRICOLAS</t>
  </si>
  <si>
    <t>1BD</t>
  </si>
  <si>
    <t>AERUBA LTDA." AEROTAXI DE URABA</t>
  </si>
  <si>
    <t>1GQ</t>
  </si>
  <si>
    <t>AMBULANCIAS AEREAS DE COLOMBIA LTDA</t>
  </si>
  <si>
    <t>E170</t>
  </si>
  <si>
    <t>DNL</t>
  </si>
  <si>
    <t>DUTCH ANTILLES EXPRESS SUCURSAL COLOMBIA</t>
  </si>
  <si>
    <t>IL76</t>
  </si>
  <si>
    <t>1CW</t>
  </si>
  <si>
    <t>VERTICAL DE AVIACION S A S</t>
  </si>
  <si>
    <t>0CN</t>
  </si>
  <si>
    <t>FATOL LTDA. FUMIGACION AEREA DEL TOLIMA</t>
  </si>
  <si>
    <t>0CT</t>
  </si>
  <si>
    <t>FUMINORTE LTDA. FUMIGACIONES AEREAS NORTE</t>
  </si>
  <si>
    <t>0DG</t>
  </si>
  <si>
    <t>SAMBA LTDA. SOCIEDAD AEROAGRICOLA AMBALEMA</t>
  </si>
  <si>
    <t>1GJ</t>
  </si>
  <si>
    <t>AERO SERVICIOS ESPECIALIZADOS ASES LTDA.</t>
  </si>
  <si>
    <t xml:space="preserve">IBERIA LINEAS AEREAS DE ESPANA </t>
  </si>
  <si>
    <t>AIR SIGNATURE S.A.S -</t>
  </si>
  <si>
    <t>"SADELCA S.C.A."</t>
  </si>
  <si>
    <t xml:space="preserve"> "SADELCA S.C.A."</t>
  </si>
  <si>
    <t xml:space="preserve"> "SICHER HELICOPTER SAS"</t>
  </si>
  <si>
    <t xml:space="preserve"> "HELIFLY"</t>
  </si>
  <si>
    <t xml:space="preserve">LAN AIRLINES S. A </t>
  </si>
  <si>
    <t>INTERNACIONAL EJECUTIVA DE AVIACION AVIACION S.A.S.</t>
  </si>
  <si>
    <t xml:space="preserve">CELTA LTDA. </t>
  </si>
  <si>
    <t xml:space="preserve">INTERNACIONAL EJECUTIVA DE AVIACION AVIACION S.A.S. </t>
  </si>
  <si>
    <t>. "HELIFLY"</t>
  </si>
  <si>
    <t>. "EASYFLY S.A."</t>
  </si>
  <si>
    <t xml:space="preserve">COALCESAR LTDA. </t>
  </si>
  <si>
    <t xml:space="preserve">LAN AIRLINES S. </t>
  </si>
  <si>
    <t xml:space="preserve"> AIR SIGNATURE S.A.S.</t>
  </si>
  <si>
    <t xml:space="preserve">TAMPA CARGO S. A. </t>
  </si>
  <si>
    <t xml:space="preserve"> "FUMIGARAY S.A.S."</t>
  </si>
  <si>
    <t>S "FUMIGARAY S.A.S."</t>
  </si>
  <si>
    <t>"FUMIGARAY S.A.S."</t>
  </si>
  <si>
    <t xml:space="preserve">AERO APOYO LTDA." </t>
  </si>
  <si>
    <t>PRIMER  SEMESTRE 2011</t>
  </si>
  <si>
    <t>TOTAL COSTOS, DIRECTOS</t>
  </si>
  <si>
    <t>SEGUNDO  SEMESTRE 2011</t>
  </si>
  <si>
    <t>Total Tripulación Cabina</t>
  </si>
  <si>
    <t xml:space="preserve">EMPRESAS DE TRANSPORTE AÉREO- CARGA </t>
  </si>
  <si>
    <t>COSTOS DE OPERACIÓN POR TIPO DE AERONAVE - PRIMER SEMESTRE 2011</t>
  </si>
  <si>
    <t>COSTOS DE OPERACIÓN POR TIPO DE AERONAVE - SEGUNDO  SEMESTRE 2011</t>
  </si>
  <si>
    <t xml:space="preserve">Fuente: Empresas Aéreas  AMERIJET-FEDERAL-VENSECAR-FLORIDA WEST-CARGOLUX-MASAIR-ABSA </t>
  </si>
  <si>
    <t>Nota: La información que contiene este documento es el promedio ponderado por el No. De horas.</t>
  </si>
  <si>
    <t xml:space="preserve">EMPRESAS DE TRANSPORTE AÉREO PASAJEROS REGULAR INTERNACIONAL  I SEMESTRE </t>
  </si>
  <si>
    <t xml:space="preserve">EMPRESAS DE TRANSPORTE AÉREO PASAJEROS REGULAR INTERNACIONAL  II SEMESTRE </t>
  </si>
  <si>
    <t xml:space="preserve">EMPRESAS DE TRANSPORTE AÉREO CARGA INTERNACIONAL  I  SEMESTRE </t>
  </si>
  <si>
    <t xml:space="preserve">EMPRESAS DE TRANSPORTE AÉREO CARGA INTERNACIONAL  II  SEMESTRE </t>
  </si>
  <si>
    <t xml:space="preserve">EMPRESAS DE TRANSPORTE AÉREO PASAJEROS REGULAR INTERNACIONAL   -  COSTOS DE OPERACIÓN POR TIPO DE AERONAVE   </t>
  </si>
  <si>
    <t>No. EMPRE. PRESENTARON INFORME</t>
  </si>
  <si>
    <t>% CUMPLIMIENTO</t>
  </si>
  <si>
    <t>TRANASPORTE AÉREO CARGA INTERNACIONAL</t>
  </si>
  <si>
    <t>TRANSPORTE AÉREO CARGA NACIONAL</t>
  </si>
  <si>
    <t>TRANSPORTE AÉREO PASAJEROS REGULAR INTRNACIONAL</t>
  </si>
  <si>
    <t>TRANSPORTE AÉREO PASAJEROS REGULAR NACIONAL</t>
  </si>
  <si>
    <t>TRANSPORTE AÉREO  COMERCIAL REGIONAL</t>
  </si>
  <si>
    <t>TRANSPORTE AÉREO  NO REGULAR  -AEROTAXIS</t>
  </si>
  <si>
    <t>TOTAL EMPRESAS VIGENTES</t>
  </si>
  <si>
    <t>TRABAJOS AÉREOS ESPECIALES - AVIACION AGRICOLA</t>
  </si>
  <si>
    <t>MODALIDADES</t>
  </si>
  <si>
    <t>TRANSPORTE AÉREO ESPECIAL DE CARGA</t>
  </si>
  <si>
    <t>COBERTURA  COSTOS DE OPERACIÓN  AÑO  DE 2011</t>
  </si>
  <si>
    <t>TOTAL COBERTURA AÑO 2011</t>
  </si>
  <si>
    <r>
      <t xml:space="preserve">TRABAJOS AÉREOS ESPECIALES: </t>
    </r>
    <r>
      <rPr>
        <sz val="10"/>
        <color theme="1"/>
        <rFont val="Calibri"/>
        <family val="2"/>
      </rPr>
      <t>(Publicidad, aerofotografía, ambulancia, etc.)</t>
    </r>
  </si>
  <si>
    <r>
      <rPr>
        <b/>
        <sz val="11"/>
        <color theme="1"/>
        <rFont val="Calibri"/>
        <family val="2"/>
      </rPr>
      <t>Nota</t>
    </r>
    <r>
      <rPr>
        <sz val="11"/>
        <color theme="1"/>
        <rFont val="Calibri"/>
        <family val="2"/>
      </rPr>
      <t>:La información que contiene este documento es el promedio ponderado por el No. De horas.</t>
    </r>
  </si>
  <si>
    <t>DE UN TOTAL DE 164 EMPRESAS VIGENTES CON LA OBLIGACIÓN DE PRESENTAR LOS INFORMES DE COSTOS EN EL AÑO 2011, 138 ESTABLECIMIENTOS AERONÁUTICOS PRESENTARON REPORTES, LO QUE  REPRESENTA EL 84 %.</t>
  </si>
  <si>
    <t>Fuente: Empresas Trabajos Aéreos Especiales OAA-0AC-1GQ-0AH-0AC-1GO</t>
  </si>
  <si>
    <t>Fuente: Empresas Trabajo Aéreo Especial  OAA-0AC-1GQ-0AH-0AC-1GO</t>
  </si>
  <si>
    <t>Fuente: Empresas  Aviación Agricola 0CR-0BT-0BH-0CB-0CK- 0BE-0BV-0DY-0CI-0DH-0DR-0CP-0DM-ODM</t>
  </si>
  <si>
    <t>Fuente: Empresas de Aviación Agricola 0CR-0BT-0BH-0CB-0CK- 0BE-0BV-0DY-0CI-0DH-0DR-0CP-0DM-ODM</t>
  </si>
  <si>
    <t>INFORMACIÓN SUMINISTRADA POR LOS ESTABLECIMIENTOS AERONÁUTICOS</t>
  </si>
  <si>
    <t>Razón Social</t>
  </si>
  <si>
    <t>RELACION EMPRESAS - TIPO AERONAVE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</si>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</sst>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Verdana"/>
      <family val="2"/>
      <scheme val="minor"/>
    </font>
    <font>
      <b/>
      <sz val="11"/>
      <name val="Arial"/>
      <family val="2"/>
    </font>
    <font>
      <sz val="11"/>
      <color theme="1"/>
      <name val="Arnprior"/>
    </font>
    <font>
      <b/>
      <sz val="11"/>
      <color theme="1"/>
      <name val="Arnprior"/>
    </font>
    <font>
      <b/>
      <sz val="14"/>
      <color theme="1"/>
      <name val="Arnprior"/>
    </font>
    <font>
      <u/>
      <sz val="11"/>
      <color theme="10"/>
      <name val="Verdana"/>
      <family val="2"/>
      <scheme val="minor"/>
    </font>
    <font>
      <b/>
      <u/>
      <sz val="20"/>
      <color theme="10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7"/>
      <name val="Calibri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4"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22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35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10" fillId="0" borderId="0" xfId="0" applyNumberFormat="1" applyFont="1" applyBorder="1" applyAlignment="1" applyProtection="1">
      <alignment horizontal="left"/>
      <protection locked="0"/>
    </xf>
    <xf numFmtId="0" fontId="1" fillId="0" borderId="18" xfId="0" applyFont="1" applyBorder="1" applyProtection="1"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8" fillId="0" borderId="2" xfId="3" applyBorder="1" applyProtection="1">
      <protection locked="0"/>
    </xf>
    <xf numFmtId="0" fontId="12" fillId="0" borderId="0" xfId="0" applyFont="1" applyProtection="1">
      <protection locked="0"/>
    </xf>
    <xf numFmtId="0" fontId="11" fillId="8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Alignment="1" applyProtection="1">
      <alignment horizontal="center"/>
      <protection locked="0"/>
    </xf>
    <xf numFmtId="9" fontId="12" fillId="0" borderId="6" xfId="1" applyFont="1" applyBorder="1" applyAlignment="1" applyProtection="1">
      <alignment horizontal="center"/>
      <protection locked="0"/>
    </xf>
    <xf numFmtId="0" fontId="12" fillId="0" borderId="7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9" fontId="12" fillId="0" borderId="8" xfId="1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9" fontId="12" fillId="0" borderId="23" xfId="1" applyFont="1" applyBorder="1" applyAlignment="1" applyProtection="1">
      <alignment horizontal="center"/>
      <protection locked="0"/>
    </xf>
    <xf numFmtId="0" fontId="11" fillId="5" borderId="20" xfId="0" applyFont="1" applyFill="1" applyBorder="1" applyAlignment="1" applyProtection="1">
      <alignment horizontal="center" vertical="center" wrapText="1"/>
      <protection locked="0"/>
    </xf>
    <xf numFmtId="0" fontId="11" fillId="5" borderId="19" xfId="0" applyFont="1" applyFill="1" applyBorder="1" applyAlignment="1" applyProtection="1">
      <alignment horizontal="center"/>
      <protection locked="0"/>
    </xf>
    <xf numFmtId="9" fontId="11" fillId="5" borderId="18" xfId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Protection="1">
      <protection locked="0"/>
    </xf>
    <xf numFmtId="9" fontId="12" fillId="0" borderId="0" xfId="1" applyFont="1" applyBorder="1" applyProtection="1">
      <protection locked="0"/>
    </xf>
    <xf numFmtId="0" fontId="15" fillId="5" borderId="3" xfId="0" applyFont="1" applyFill="1" applyBorder="1" applyAlignment="1" applyProtection="1">
      <alignment horizontal="center"/>
      <protection locked="0"/>
    </xf>
    <xf numFmtId="0" fontId="11" fillId="5" borderId="3" xfId="0" applyFont="1" applyFill="1" applyBorder="1" applyAlignment="1" applyProtection="1">
      <alignment horizontal="center"/>
      <protection locked="0"/>
    </xf>
    <xf numFmtId="0" fontId="15" fillId="5" borderId="24" xfId="0" applyFont="1" applyFill="1" applyBorder="1" applyAlignment="1" applyProtection="1">
      <alignment horizontal="center"/>
      <protection locked="0"/>
    </xf>
    <xf numFmtId="0" fontId="16" fillId="0" borderId="4" xfId="0" applyFont="1" applyBorder="1" applyProtection="1">
      <protection locked="0"/>
    </xf>
    <xf numFmtId="3" fontId="16" fillId="0" borderId="5" xfId="0" applyNumberFormat="1" applyFont="1" applyBorder="1" applyProtection="1">
      <protection locked="0"/>
    </xf>
    <xf numFmtId="3" fontId="16" fillId="0" borderId="6" xfId="0" applyNumberFormat="1" applyFont="1" applyBorder="1" applyProtection="1">
      <protection locked="0"/>
    </xf>
    <xf numFmtId="3" fontId="12" fillId="0" borderId="0" xfId="0" applyNumberFormat="1" applyFont="1" applyProtection="1">
      <protection locked="0"/>
    </xf>
    <xf numFmtId="0" fontId="16" fillId="0" borderId="15" xfId="0" applyFont="1" applyBorder="1" applyProtection="1">
      <protection locked="0"/>
    </xf>
    <xf numFmtId="3" fontId="16" fillId="0" borderId="16" xfId="0" applyNumberFormat="1" applyFont="1" applyBorder="1" applyProtection="1">
      <protection locked="0"/>
    </xf>
    <xf numFmtId="3" fontId="16" fillId="0" borderId="2" xfId="0" applyNumberFormat="1" applyFont="1" applyBorder="1" applyProtection="1">
      <protection locked="0"/>
    </xf>
    <xf numFmtId="3" fontId="16" fillId="0" borderId="0" xfId="0" applyNumberFormat="1" applyFont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3" fontId="16" fillId="0" borderId="8" xfId="0" applyNumberFormat="1" applyFont="1" applyBorder="1" applyProtection="1">
      <protection locked="0"/>
    </xf>
    <xf numFmtId="3" fontId="17" fillId="0" borderId="2" xfId="0" applyNumberFormat="1" applyFont="1" applyBorder="1" applyProtection="1">
      <protection locked="0"/>
    </xf>
    <xf numFmtId="3" fontId="12" fillId="0" borderId="8" xfId="0" applyNumberFormat="1" applyFont="1" applyBorder="1" applyProtection="1">
      <protection locked="0"/>
    </xf>
    <xf numFmtId="0" fontId="12" fillId="0" borderId="22" xfId="0" applyFont="1" applyBorder="1" applyProtection="1">
      <protection locked="0"/>
    </xf>
    <xf numFmtId="3" fontId="12" fillId="0" borderId="21" xfId="0" applyNumberFormat="1" applyFont="1" applyBorder="1" applyProtection="1">
      <protection locked="0"/>
    </xf>
    <xf numFmtId="3" fontId="17" fillId="0" borderId="21" xfId="0" applyNumberFormat="1" applyFont="1" applyBorder="1" applyProtection="1">
      <protection locked="0"/>
    </xf>
    <xf numFmtId="3" fontId="12" fillId="0" borderId="23" xfId="0" applyNumberFormat="1" applyFont="1" applyBorder="1" applyProtection="1">
      <protection locked="0"/>
    </xf>
    <xf numFmtId="0" fontId="11" fillId="3" borderId="20" xfId="0" applyFont="1" applyFill="1" applyBorder="1" applyProtection="1">
      <protection locked="0"/>
    </xf>
    <xf numFmtId="3" fontId="11" fillId="3" borderId="19" xfId="0" applyNumberFormat="1" applyFont="1" applyFill="1" applyBorder="1" applyProtection="1">
      <protection locked="0"/>
    </xf>
    <xf numFmtId="3" fontId="18" fillId="3" borderId="19" xfId="0" applyNumberFormat="1" applyFont="1" applyFill="1" applyBorder="1" applyProtection="1">
      <protection locked="0"/>
    </xf>
    <xf numFmtId="3" fontId="11" fillId="3" borderId="18" xfId="0" applyNumberFormat="1" applyFont="1" applyFill="1" applyBorder="1" applyProtection="1">
      <protection locked="0"/>
    </xf>
    <xf numFmtId="0" fontId="12" fillId="0" borderId="15" xfId="0" applyFont="1" applyBorder="1" applyProtection="1">
      <protection locked="0"/>
    </xf>
    <xf numFmtId="3" fontId="12" fillId="0" borderId="16" xfId="0" applyNumberFormat="1" applyFont="1" applyBorder="1" applyProtection="1">
      <protection locked="0"/>
    </xf>
    <xf numFmtId="3" fontId="17" fillId="0" borderId="16" xfId="0" applyNumberFormat="1" applyFont="1" applyBorder="1" applyProtection="1">
      <protection locked="0"/>
    </xf>
    <xf numFmtId="3" fontId="16" fillId="0" borderId="17" xfId="0" applyNumberFormat="1" applyFont="1" applyBorder="1" applyProtection="1">
      <protection locked="0"/>
    </xf>
    <xf numFmtId="0" fontId="11" fillId="4" borderId="20" xfId="0" applyFont="1" applyFill="1" applyBorder="1" applyProtection="1">
      <protection locked="0"/>
    </xf>
    <xf numFmtId="3" fontId="11" fillId="4" borderId="19" xfId="0" applyNumberFormat="1" applyFont="1" applyFill="1" applyBorder="1" applyProtection="1">
      <protection locked="0"/>
    </xf>
    <xf numFmtId="3" fontId="18" fillId="4" borderId="19" xfId="0" applyNumberFormat="1" applyFont="1" applyFill="1" applyBorder="1" applyProtection="1">
      <protection locked="0"/>
    </xf>
    <xf numFmtId="3" fontId="11" fillId="4" borderId="18" xfId="0" applyNumberFormat="1" applyFont="1" applyFill="1" applyBorder="1" applyProtection="1">
      <protection locked="0"/>
    </xf>
    <xf numFmtId="3" fontId="12" fillId="0" borderId="17" xfId="0" applyNumberFormat="1" applyFont="1" applyBorder="1" applyProtection="1">
      <protection locked="0"/>
    </xf>
    <xf numFmtId="0" fontId="12" fillId="0" borderId="9" xfId="0" applyFont="1" applyBorder="1" applyProtection="1">
      <protection locked="0"/>
    </xf>
    <xf numFmtId="3" fontId="12" fillId="0" borderId="10" xfId="0" applyNumberFormat="1" applyFont="1" applyBorder="1" applyProtection="1">
      <protection locked="0"/>
    </xf>
    <xf numFmtId="3" fontId="17" fillId="0" borderId="10" xfId="0" applyNumberFormat="1" applyFont="1" applyBorder="1" applyProtection="1">
      <protection locked="0"/>
    </xf>
    <xf numFmtId="3" fontId="12" fillId="0" borderId="11" xfId="0" applyNumberFormat="1" applyFont="1" applyBorder="1" applyProtection="1">
      <protection locked="0"/>
    </xf>
    <xf numFmtId="3" fontId="12" fillId="0" borderId="0" xfId="0" applyNumberFormat="1" applyFont="1" applyBorder="1" applyProtection="1">
      <protection locked="0"/>
    </xf>
    <xf numFmtId="3" fontId="17" fillId="0" borderId="0" xfId="0" applyNumberFormat="1" applyFont="1" applyBorder="1" applyProtection="1">
      <protection locked="0"/>
    </xf>
    <xf numFmtId="0" fontId="17" fillId="0" borderId="0" xfId="0" applyFont="1" applyBorder="1" applyProtection="1">
      <protection locked="0"/>
    </xf>
    <xf numFmtId="3" fontId="15" fillId="0" borderId="0" xfId="0" applyNumberFormat="1" applyFont="1" applyBorder="1" applyProtection="1">
      <protection locked="0"/>
    </xf>
    <xf numFmtId="10" fontId="12" fillId="0" borderId="2" xfId="1" applyNumberFormat="1" applyFont="1" applyBorder="1" applyProtection="1">
      <protection locked="0"/>
    </xf>
    <xf numFmtId="10" fontId="17" fillId="0" borderId="2" xfId="1" applyNumberFormat="1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11" fillId="7" borderId="7" xfId="0" applyFont="1" applyFill="1" applyBorder="1" applyProtection="1">
      <protection locked="0"/>
    </xf>
    <xf numFmtId="10" fontId="11" fillId="7" borderId="2" xfId="1" applyNumberFormat="1" applyFont="1" applyFill="1" applyBorder="1" applyProtection="1">
      <protection locked="0"/>
    </xf>
    <xf numFmtId="10" fontId="18" fillId="7" borderId="2" xfId="1" applyNumberFormat="1" applyFont="1" applyFill="1" applyBorder="1" applyProtection="1">
      <protection locked="0"/>
    </xf>
    <xf numFmtId="0" fontId="11" fillId="5" borderId="7" xfId="0" applyFont="1" applyFill="1" applyBorder="1" applyProtection="1">
      <protection locked="0"/>
    </xf>
    <xf numFmtId="9" fontId="11" fillId="5" borderId="2" xfId="1" applyNumberFormat="1" applyFont="1" applyFill="1" applyBorder="1" applyProtection="1">
      <protection locked="0"/>
    </xf>
    <xf numFmtId="9" fontId="18" fillId="5" borderId="2" xfId="1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4" fontId="19" fillId="0" borderId="0" xfId="0" applyNumberFormat="1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1" fillId="5" borderId="29" xfId="0" applyFont="1" applyFill="1" applyBorder="1" applyAlignment="1" applyProtection="1">
      <alignment horizontal="center"/>
      <protection locked="0"/>
    </xf>
    <xf numFmtId="3" fontId="16" fillId="0" borderId="5" xfId="0" applyNumberFormat="1" applyFont="1" applyBorder="1" applyAlignment="1" applyProtection="1">
      <alignment horizontal="center"/>
      <protection locked="0"/>
    </xf>
    <xf numFmtId="3" fontId="16" fillId="0" borderId="2" xfId="0" applyNumberFormat="1" applyFont="1" applyBorder="1" applyAlignment="1" applyProtection="1">
      <alignment horizontal="center"/>
      <protection locked="0"/>
    </xf>
    <xf numFmtId="0" fontId="16" fillId="0" borderId="9" xfId="0" applyFont="1" applyBorder="1" applyProtection="1">
      <protection locked="0"/>
    </xf>
    <xf numFmtId="3" fontId="16" fillId="0" borderId="10" xfId="0" applyNumberFormat="1" applyFont="1" applyBorder="1" applyProtection="1">
      <protection locked="0"/>
    </xf>
    <xf numFmtId="3" fontId="16" fillId="0" borderId="10" xfId="0" applyNumberFormat="1" applyFont="1" applyBorder="1" applyAlignment="1" applyProtection="1">
      <alignment horizontal="center"/>
      <protection locked="0"/>
    </xf>
    <xf numFmtId="3" fontId="16" fillId="0" borderId="11" xfId="0" applyNumberFormat="1" applyFont="1" applyBorder="1" applyProtection="1">
      <protection locked="0"/>
    </xf>
    <xf numFmtId="10" fontId="12" fillId="7" borderId="2" xfId="1" applyNumberFormat="1" applyFont="1" applyFill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3" fontId="12" fillId="0" borderId="2" xfId="0" applyNumberFormat="1" applyFont="1" applyBorder="1" applyAlignment="1" applyProtection="1">
      <alignment horizontal="center"/>
      <protection locked="0"/>
    </xf>
    <xf numFmtId="3" fontId="12" fillId="0" borderId="21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3" fontId="12" fillId="0" borderId="16" xfId="0" applyNumberFormat="1" applyFont="1" applyBorder="1" applyAlignment="1" applyProtection="1">
      <alignment horizontal="center"/>
      <protection locked="0"/>
    </xf>
    <xf numFmtId="0" fontId="11" fillId="5" borderId="35" xfId="0" applyFont="1" applyFill="1" applyBorder="1" applyProtection="1">
      <protection locked="0"/>
    </xf>
    <xf numFmtId="3" fontId="11" fillId="5" borderId="36" xfId="0" applyNumberFormat="1" applyFont="1" applyFill="1" applyBorder="1" applyProtection="1">
      <protection locked="0"/>
    </xf>
    <xf numFmtId="3" fontId="11" fillId="5" borderId="36" xfId="0" applyNumberFormat="1" applyFont="1" applyFill="1" applyBorder="1" applyAlignment="1" applyProtection="1">
      <alignment horizontal="center"/>
      <protection locked="0"/>
    </xf>
    <xf numFmtId="3" fontId="11" fillId="5" borderId="37" xfId="0" applyNumberFormat="1" applyFont="1" applyFill="1" applyBorder="1" applyProtection="1">
      <protection locked="0"/>
    </xf>
    <xf numFmtId="3" fontId="12" fillId="0" borderId="10" xfId="0" applyNumberFormat="1" applyFont="1" applyBorder="1" applyAlignment="1" applyProtection="1">
      <alignment horizontal="center"/>
      <protection locked="0"/>
    </xf>
    <xf numFmtId="0" fontId="11" fillId="6" borderId="3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3" fontId="12" fillId="0" borderId="5" xfId="0" applyNumberFormat="1" applyFont="1" applyBorder="1" applyProtection="1">
      <protection locked="0"/>
    </xf>
    <xf numFmtId="3" fontId="12" fillId="0" borderId="6" xfId="0" applyNumberFormat="1" applyFont="1" applyBorder="1" applyAlignment="1" applyProtection="1">
      <alignment horizontal="center"/>
      <protection locked="0"/>
    </xf>
    <xf numFmtId="3" fontId="12" fillId="0" borderId="8" xfId="0" applyNumberFormat="1" applyFont="1" applyBorder="1" applyAlignment="1" applyProtection="1">
      <alignment horizontal="center"/>
      <protection locked="0"/>
    </xf>
    <xf numFmtId="3" fontId="12" fillId="0" borderId="23" xfId="0" applyNumberFormat="1" applyFont="1" applyBorder="1" applyAlignment="1" applyProtection="1">
      <alignment horizontal="center"/>
      <protection locked="0"/>
    </xf>
    <xf numFmtId="3" fontId="12" fillId="0" borderId="17" xfId="0" applyNumberFormat="1" applyFont="1" applyBorder="1" applyAlignment="1" applyProtection="1">
      <alignment horizontal="center"/>
      <protection locked="0"/>
    </xf>
    <xf numFmtId="0" fontId="11" fillId="6" borderId="20" xfId="0" applyFont="1" applyFill="1" applyBorder="1" applyProtection="1">
      <protection locked="0"/>
    </xf>
    <xf numFmtId="3" fontId="11" fillId="6" borderId="19" xfId="0" applyNumberFormat="1" applyFont="1" applyFill="1" applyBorder="1" applyProtection="1">
      <protection locked="0"/>
    </xf>
    <xf numFmtId="3" fontId="11" fillId="6" borderId="18" xfId="0" applyNumberFormat="1" applyFont="1" applyFill="1" applyBorder="1" applyProtection="1">
      <protection locked="0"/>
    </xf>
    <xf numFmtId="0" fontId="11" fillId="5" borderId="20" xfId="0" applyFont="1" applyFill="1" applyBorder="1" applyProtection="1">
      <protection locked="0"/>
    </xf>
    <xf numFmtId="3" fontId="11" fillId="5" borderId="19" xfId="0" applyNumberFormat="1" applyFont="1" applyFill="1" applyBorder="1" applyProtection="1">
      <protection locked="0"/>
    </xf>
    <xf numFmtId="3" fontId="12" fillId="0" borderId="11" xfId="0" applyNumberFormat="1" applyFont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3" fontId="12" fillId="0" borderId="6" xfId="0" applyNumberFormat="1" applyFont="1" applyBorder="1" applyProtection="1">
      <protection locked="0"/>
    </xf>
    <xf numFmtId="3" fontId="11" fillId="5" borderId="18" xfId="0" applyNumberFormat="1" applyFont="1" applyFill="1" applyBorder="1" applyProtection="1">
      <protection locked="0"/>
    </xf>
    <xf numFmtId="10" fontId="12" fillId="0" borderId="16" xfId="1" applyNumberFormat="1" applyFont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6" fillId="0" borderId="22" xfId="0" applyFont="1" applyBorder="1" applyProtection="1">
      <protection locked="0"/>
    </xf>
    <xf numFmtId="3" fontId="16" fillId="0" borderId="21" xfId="0" applyNumberFormat="1" applyFont="1" applyBorder="1" applyProtection="1">
      <protection locked="0"/>
    </xf>
    <xf numFmtId="3" fontId="16" fillId="0" borderId="23" xfId="0" applyNumberFormat="1" applyFont="1" applyBorder="1" applyProtection="1">
      <protection locked="0"/>
    </xf>
    <xf numFmtId="0" fontId="15" fillId="9" borderId="20" xfId="0" applyFont="1" applyFill="1" applyBorder="1" applyProtection="1">
      <protection locked="0"/>
    </xf>
    <xf numFmtId="3" fontId="15" fillId="9" borderId="19" xfId="0" applyNumberFormat="1" applyFont="1" applyFill="1" applyBorder="1" applyProtection="1">
      <protection locked="0"/>
    </xf>
    <xf numFmtId="3" fontId="15" fillId="9" borderId="18" xfId="0" applyNumberFormat="1" applyFont="1" applyFill="1" applyBorder="1" applyProtection="1">
      <protection locked="0"/>
    </xf>
    <xf numFmtId="0" fontId="15" fillId="3" borderId="20" xfId="0" applyFont="1" applyFill="1" applyBorder="1" applyProtection="1">
      <protection locked="0"/>
    </xf>
    <xf numFmtId="3" fontId="15" fillId="3" borderId="19" xfId="0" applyNumberFormat="1" applyFont="1" applyFill="1" applyBorder="1" applyProtection="1">
      <protection locked="0"/>
    </xf>
    <xf numFmtId="3" fontId="15" fillId="3" borderId="18" xfId="0" applyNumberFormat="1" applyFont="1" applyFill="1" applyBorder="1" applyProtection="1">
      <protection locked="0"/>
    </xf>
    <xf numFmtId="0" fontId="11" fillId="9" borderId="20" xfId="0" applyFont="1" applyFill="1" applyBorder="1" applyProtection="1">
      <protection locked="0"/>
    </xf>
    <xf numFmtId="10" fontId="11" fillId="9" borderId="20" xfId="1" applyNumberFormat="1" applyFont="1" applyFill="1" applyBorder="1" applyProtection="1">
      <protection locked="0"/>
    </xf>
    <xf numFmtId="0" fontId="11" fillId="9" borderId="1" xfId="0" applyFont="1" applyFill="1" applyBorder="1" applyProtection="1">
      <protection locked="0"/>
    </xf>
    <xf numFmtId="10" fontId="11" fillId="9" borderId="1" xfId="1" applyNumberFormat="1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9" fontId="11" fillId="3" borderId="1" xfId="1" applyFont="1" applyFill="1" applyBorder="1" applyProtection="1">
      <protection locked="0"/>
    </xf>
    <xf numFmtId="3" fontId="11" fillId="9" borderId="19" xfId="0" applyNumberFormat="1" applyFont="1" applyFill="1" applyBorder="1" applyProtection="1">
      <protection locked="0"/>
    </xf>
    <xf numFmtId="3" fontId="11" fillId="3" borderId="1" xfId="0" applyNumberFormat="1" applyFont="1" applyFill="1" applyBorder="1" applyProtection="1">
      <protection locked="0"/>
    </xf>
    <xf numFmtId="10" fontId="11" fillId="9" borderId="2" xfId="1" applyNumberFormat="1" applyFont="1" applyFill="1" applyBorder="1" applyProtection="1">
      <protection locked="0"/>
    </xf>
    <xf numFmtId="9" fontId="11" fillId="3" borderId="2" xfId="1" applyNumberFormat="1" applyFont="1" applyFill="1" applyBorder="1" applyProtection="1">
      <protection locked="0"/>
    </xf>
    <xf numFmtId="0" fontId="15" fillId="8" borderId="3" xfId="0" applyFont="1" applyFill="1" applyBorder="1" applyAlignment="1" applyProtection="1">
      <alignment horizontal="center"/>
      <protection locked="0"/>
    </xf>
    <xf numFmtId="3" fontId="11" fillId="9" borderId="25" xfId="0" applyNumberFormat="1" applyFont="1" applyFill="1" applyBorder="1" applyProtection="1">
      <protection locked="0"/>
    </xf>
    <xf numFmtId="3" fontId="11" fillId="3" borderId="25" xfId="0" applyNumberFormat="1" applyFont="1" applyFill="1" applyBorder="1" applyProtection="1">
      <protection locked="0"/>
    </xf>
    <xf numFmtId="0" fontId="16" fillId="0" borderId="5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10" fontId="12" fillId="0" borderId="5" xfId="1" applyNumberFormat="1" applyFont="1" applyBorder="1" applyProtection="1">
      <protection locked="0"/>
    </xf>
    <xf numFmtId="10" fontId="12" fillId="0" borderId="6" xfId="1" applyNumberFormat="1" applyFont="1" applyBorder="1" applyProtection="1">
      <protection locked="0"/>
    </xf>
    <xf numFmtId="10" fontId="12" fillId="0" borderId="8" xfId="1" applyNumberFormat="1" applyFont="1" applyBorder="1" applyProtection="1">
      <protection locked="0"/>
    </xf>
    <xf numFmtId="3" fontId="11" fillId="9" borderId="20" xfId="0" applyNumberFormat="1" applyFont="1" applyFill="1" applyBorder="1" applyProtection="1">
      <protection locked="0"/>
    </xf>
    <xf numFmtId="43" fontId="12" fillId="0" borderId="0" xfId="2" applyFont="1" applyProtection="1">
      <protection locked="0"/>
    </xf>
    <xf numFmtId="9" fontId="11" fillId="3" borderId="1" xfId="1" applyNumberFormat="1" applyFont="1" applyFill="1" applyBorder="1" applyProtection="1">
      <protection locked="0"/>
    </xf>
    <xf numFmtId="0" fontId="11" fillId="5" borderId="22" xfId="0" applyFont="1" applyFill="1" applyBorder="1" applyProtection="1">
      <protection locked="0"/>
    </xf>
    <xf numFmtId="9" fontId="11" fillId="5" borderId="21" xfId="1" applyNumberFormat="1" applyFont="1" applyFill="1" applyBorder="1" applyProtection="1">
      <protection locked="0"/>
    </xf>
    <xf numFmtId="14" fontId="19" fillId="0" borderId="0" xfId="0" applyNumberFormat="1" applyFont="1" applyBorder="1" applyAlignment="1" applyProtection="1">
      <alignment horizontal="left"/>
      <protection locked="0"/>
    </xf>
    <xf numFmtId="0" fontId="7" fillId="10" borderId="12" xfId="0" applyFont="1" applyFill="1" applyBorder="1" applyAlignment="1" applyProtection="1">
      <alignment horizontal="center"/>
      <protection locked="0"/>
    </xf>
    <xf numFmtId="0" fontId="7" fillId="10" borderId="14" xfId="0" applyFont="1" applyFill="1" applyBorder="1" applyAlignment="1" applyProtection="1">
      <alignment horizontal="center"/>
      <protection locked="0"/>
    </xf>
    <xf numFmtId="0" fontId="9" fillId="6" borderId="12" xfId="3" applyFont="1" applyFill="1" applyBorder="1" applyAlignment="1" applyProtection="1">
      <alignment horizontal="center"/>
      <protection locked="0"/>
    </xf>
    <xf numFmtId="0" fontId="9" fillId="6" borderId="14" xfId="3" applyFont="1" applyFill="1" applyBorder="1" applyAlignment="1" applyProtection="1">
      <alignment horizontal="center"/>
      <protection locked="0"/>
    </xf>
    <xf numFmtId="0" fontId="8" fillId="6" borderId="12" xfId="3" applyFill="1" applyBorder="1" applyAlignment="1" applyProtection="1">
      <alignment horizontal="center"/>
      <protection locked="0"/>
    </xf>
    <xf numFmtId="0" fontId="8" fillId="6" borderId="13" xfId="3" applyFill="1" applyBorder="1" applyAlignment="1" applyProtection="1">
      <alignment horizontal="center"/>
      <protection locked="0"/>
    </xf>
    <xf numFmtId="0" fontId="8" fillId="6" borderId="14" xfId="3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12" fillId="11" borderId="12" xfId="0" applyFont="1" applyFill="1" applyBorder="1" applyAlignment="1" applyProtection="1">
      <alignment horizontal="left" vertical="top" wrapText="1"/>
      <protection locked="0"/>
    </xf>
    <xf numFmtId="0" fontId="12" fillId="11" borderId="13" xfId="0" applyFont="1" applyFill="1" applyBorder="1" applyAlignment="1" applyProtection="1">
      <alignment horizontal="left" vertical="top" wrapText="1"/>
      <protection locked="0"/>
    </xf>
    <xf numFmtId="0" fontId="12" fillId="11" borderId="14" xfId="0" applyFont="1" applyFill="1" applyBorder="1" applyAlignment="1" applyProtection="1">
      <alignment horizontal="left" vertical="top" wrapText="1"/>
      <protection locked="0"/>
    </xf>
    <xf numFmtId="0" fontId="11" fillId="6" borderId="12" xfId="0" applyFont="1" applyFill="1" applyBorder="1" applyAlignment="1" applyProtection="1">
      <alignment horizontal="center"/>
      <protection locked="0"/>
    </xf>
    <xf numFmtId="0" fontId="11" fillId="6" borderId="30" xfId="0" applyFont="1" applyFill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locked="0"/>
    </xf>
    <xf numFmtId="0" fontId="14" fillId="5" borderId="29" xfId="3" applyFont="1" applyFill="1" applyBorder="1" applyAlignment="1" applyProtection="1">
      <alignment horizontal="center"/>
      <protection locked="0"/>
    </xf>
    <xf numFmtId="0" fontId="14" fillId="5" borderId="30" xfId="3" applyFont="1" applyFill="1" applyBorder="1" applyAlignment="1" applyProtection="1">
      <alignment horizontal="center"/>
      <protection locked="0"/>
    </xf>
    <xf numFmtId="0" fontId="14" fillId="5" borderId="31" xfId="3" applyFont="1" applyFill="1" applyBorder="1" applyAlignment="1" applyProtection="1">
      <alignment horizontal="center"/>
      <protection locked="0"/>
    </xf>
    <xf numFmtId="0" fontId="11" fillId="5" borderId="26" xfId="0" applyFont="1" applyFill="1" applyBorder="1" applyAlignment="1" applyProtection="1">
      <alignment horizontal="center"/>
      <protection locked="0"/>
    </xf>
    <xf numFmtId="0" fontId="11" fillId="5" borderId="27" xfId="0" applyFont="1" applyFill="1" applyBorder="1" applyAlignment="1" applyProtection="1">
      <alignment horizontal="center"/>
      <protection locked="0"/>
    </xf>
    <xf numFmtId="0" fontId="11" fillId="5" borderId="28" xfId="0" applyFont="1" applyFill="1" applyBorder="1" applyAlignment="1" applyProtection="1">
      <alignment horizontal="center"/>
      <protection locked="0"/>
    </xf>
    <xf numFmtId="0" fontId="14" fillId="5" borderId="0" xfId="3" applyFont="1" applyFill="1" applyBorder="1" applyAlignment="1" applyProtection="1">
      <alignment horizontal="center"/>
      <protection locked="0"/>
    </xf>
    <xf numFmtId="0" fontId="14" fillId="5" borderId="38" xfId="3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0" fontId="11" fillId="5" borderId="38" xfId="0" applyFont="1" applyFill="1" applyBorder="1" applyAlignment="1" applyProtection="1">
      <alignment horizontal="center"/>
      <protection locked="0"/>
    </xf>
    <xf numFmtId="0" fontId="11" fillId="6" borderId="32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 applyProtection="1">
      <alignment horizontal="center"/>
      <protection locked="0"/>
    </xf>
    <xf numFmtId="0" fontId="12" fillId="0" borderId="39" xfId="0" applyFont="1" applyBorder="1" applyAlignment="1" applyProtection="1">
      <alignment horizontal="left" vertical="top" wrapText="1"/>
      <protection locked="0"/>
    </xf>
    <xf numFmtId="0" fontId="14" fillId="5" borderId="12" xfId="3" applyFont="1" applyFill="1" applyBorder="1" applyAlignment="1" applyProtection="1">
      <alignment horizontal="center"/>
      <protection locked="0"/>
    </xf>
    <xf numFmtId="0" fontId="14" fillId="5" borderId="13" xfId="3" applyFont="1" applyFill="1" applyBorder="1" applyAlignment="1" applyProtection="1">
      <alignment horizontal="center"/>
      <protection locked="0"/>
    </xf>
    <xf numFmtId="0" fontId="14" fillId="5" borderId="14" xfId="3" applyFont="1" applyFill="1" applyBorder="1" applyAlignment="1" applyProtection="1">
      <alignment horizontal="center"/>
      <protection locked="0"/>
    </xf>
    <xf numFmtId="0" fontId="11" fillId="6" borderId="13" xfId="0" applyFont="1" applyFill="1" applyBorder="1" applyAlignment="1" applyProtection="1">
      <alignment horizontal="center"/>
      <protection locked="0"/>
    </xf>
    <xf numFmtId="0" fontId="11" fillId="6" borderId="14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center"/>
      <protection locked="0"/>
    </xf>
    <xf numFmtId="0" fontId="15" fillId="3" borderId="13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Alignment="1" applyProtection="1">
      <alignment horizontal="center"/>
      <protection locked="0"/>
    </xf>
    <xf numFmtId="0" fontId="14" fillId="2" borderId="32" xfId="3" applyFont="1" applyFill="1" applyBorder="1" applyAlignment="1" applyProtection="1">
      <alignment horizontal="center"/>
      <protection locked="0"/>
    </xf>
    <xf numFmtId="0" fontId="14" fillId="2" borderId="0" xfId="3" applyFont="1" applyFill="1" applyBorder="1" applyAlignment="1" applyProtection="1">
      <alignment horizontal="center"/>
      <protection locked="0"/>
    </xf>
    <xf numFmtId="0" fontId="14" fillId="8" borderId="12" xfId="3" applyFont="1" applyFill="1" applyBorder="1" applyAlignment="1" applyProtection="1">
      <alignment horizontal="center" vertical="center" wrapText="1"/>
      <protection locked="0"/>
    </xf>
    <xf numFmtId="0" fontId="14" fillId="0" borderId="13" xfId="3" applyFont="1" applyBorder="1" applyAlignment="1" applyProtection="1">
      <alignment horizontal="center" vertical="center" wrapText="1"/>
      <protection locked="0"/>
    </xf>
    <xf numFmtId="0" fontId="14" fillId="8" borderId="13" xfId="3" applyFont="1" applyFill="1" applyBorder="1" applyAlignment="1" applyProtection="1">
      <alignment horizontal="center" vertical="center" wrapText="1"/>
      <protection locked="0"/>
    </xf>
    <xf numFmtId="0" fontId="14" fillId="8" borderId="14" xfId="3" applyFont="1" applyFill="1" applyBorder="1" applyAlignment="1" applyProtection="1">
      <alignment horizontal="center" vertical="center" wrapText="1"/>
      <protection locked="0"/>
    </xf>
    <xf numFmtId="0" fontId="18" fillId="2" borderId="30" xfId="0" applyFont="1" applyFill="1" applyBorder="1" applyAlignment="1" applyProtection="1">
      <alignment horizontal="center"/>
      <protection locked="0"/>
    </xf>
    <xf numFmtId="0" fontId="14" fillId="2" borderId="12" xfId="3" applyFont="1" applyFill="1" applyBorder="1" applyAlignment="1" applyProtection="1">
      <alignment horizontal="center"/>
      <protection locked="0"/>
    </xf>
    <xf numFmtId="0" fontId="14" fillId="2" borderId="13" xfId="3" applyFont="1" applyFill="1" applyBorder="1" applyAlignment="1" applyProtection="1">
      <alignment horizontal="center"/>
      <protection locked="0"/>
    </xf>
    <xf numFmtId="0" fontId="14" fillId="2" borderId="14" xfId="3" applyFont="1" applyFill="1" applyBorder="1" applyAlignment="1" applyProtection="1">
      <alignment horizontal="center"/>
      <protection locked="0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6159844</xdr:colOff>
      <xdr:row>13</xdr:row>
      <xdr:rowOff>228415</xdr:rowOff>
    </xdr:from>
    <xdr:ext cx="184730" cy="937629"/>
    <xdr:sp macro="" textlink="">
      <xdr:nvSpPr>
        <xdr:cNvPr id="2" name="1 Rectángulo"/>
        <xdr:cNvSpPr/>
      </xdr:nvSpPr>
      <xdr:spPr>
        <a:xfrm>
          <a:off x="6952324" y="241535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o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G10" sqref="G10"/>
    </sheetView>
  </sheetViews>
  <sheetFormatPr baseColWidth="10" defaultRowHeight="13.8" x14ac:dyDescent="0.25"/>
  <cols>
    <col min="2" max="2" width="101.54296875" customWidth="1"/>
  </cols>
  <sheetData>
    <row r="1" spans="1:2" ht="25.05" customHeight="1" thickBot="1" x14ac:dyDescent="0.45">
      <c r="A1" s="175" t="s">
        <v>168</v>
      </c>
      <c r="B1" s="176"/>
    </row>
    <row r="2" spans="1:2" ht="25.05" customHeight="1" thickBot="1" x14ac:dyDescent="0.45">
      <c r="A2" s="9"/>
      <c r="B2" s="10"/>
    </row>
    <row r="3" spans="1:2" ht="25.05" customHeight="1" thickBot="1" x14ac:dyDescent="0.6">
      <c r="A3" s="173" t="s">
        <v>148</v>
      </c>
      <c r="B3" s="174"/>
    </row>
    <row r="4" spans="1:2" ht="25.05" customHeight="1" thickBot="1" x14ac:dyDescent="0.45">
      <c r="A4" s="9"/>
      <c r="B4" s="9"/>
    </row>
    <row r="5" spans="1:2" ht="25.05" customHeight="1" x14ac:dyDescent="0.55000000000000004">
      <c r="A5" s="25" t="s">
        <v>161</v>
      </c>
      <c r="B5" s="25" t="s">
        <v>162</v>
      </c>
    </row>
    <row r="6" spans="1:2" ht="25.05" customHeight="1" x14ac:dyDescent="0.4">
      <c r="A6" s="26">
        <v>1</v>
      </c>
      <c r="B6" s="27" t="s">
        <v>506</v>
      </c>
    </row>
    <row r="7" spans="1:2" ht="25.05" customHeight="1" x14ac:dyDescent="0.4">
      <c r="A7" s="26">
        <v>2</v>
      </c>
      <c r="B7" s="27" t="s">
        <v>507</v>
      </c>
    </row>
    <row r="8" spans="1:2" ht="27" customHeight="1" x14ac:dyDescent="0.4">
      <c r="A8" s="26">
        <v>3</v>
      </c>
      <c r="B8" s="27" t="s">
        <v>153</v>
      </c>
    </row>
    <row r="9" spans="1:2" ht="25.05" customHeight="1" x14ac:dyDescent="0.4">
      <c r="A9" s="26">
        <v>4</v>
      </c>
      <c r="B9" s="27" t="s">
        <v>154</v>
      </c>
    </row>
    <row r="10" spans="1:2" ht="25.05" customHeight="1" x14ac:dyDescent="0.4">
      <c r="A10" s="26">
        <v>5</v>
      </c>
      <c r="B10" s="27" t="s">
        <v>478</v>
      </c>
    </row>
    <row r="11" spans="1:2" ht="25.05" customHeight="1" x14ac:dyDescent="0.4">
      <c r="A11" s="26">
        <v>6</v>
      </c>
      <c r="B11" s="27" t="s">
        <v>479</v>
      </c>
    </row>
    <row r="12" spans="1:2" ht="25.05" customHeight="1" x14ac:dyDescent="0.4">
      <c r="A12" s="26">
        <v>7</v>
      </c>
      <c r="B12" s="27" t="s">
        <v>480</v>
      </c>
    </row>
    <row r="13" spans="1:2" ht="25.05" customHeight="1" x14ac:dyDescent="0.4">
      <c r="A13" s="26">
        <v>8</v>
      </c>
      <c r="B13" s="27" t="s">
        <v>481</v>
      </c>
    </row>
    <row r="14" spans="1:2" ht="25.05" customHeight="1" x14ac:dyDescent="0.4">
      <c r="A14" s="26">
        <v>9</v>
      </c>
      <c r="B14" s="27" t="s">
        <v>149</v>
      </c>
    </row>
    <row r="15" spans="1:2" ht="25.05" customHeight="1" x14ac:dyDescent="0.4">
      <c r="A15" s="26">
        <v>10</v>
      </c>
      <c r="B15" s="27" t="s">
        <v>150</v>
      </c>
    </row>
    <row r="16" spans="1:2" ht="25.05" customHeight="1" x14ac:dyDescent="0.4">
      <c r="A16" s="26">
        <v>11</v>
      </c>
      <c r="B16" s="27" t="s">
        <v>151</v>
      </c>
    </row>
    <row r="17" spans="1:2" ht="25.05" customHeight="1" x14ac:dyDescent="0.4">
      <c r="A17" s="26">
        <v>12</v>
      </c>
      <c r="B17" s="27" t="s">
        <v>152</v>
      </c>
    </row>
    <row r="18" spans="1:2" ht="25.05" customHeight="1" x14ac:dyDescent="0.4">
      <c r="A18" s="26">
        <v>13</v>
      </c>
      <c r="B18" s="27" t="s">
        <v>155</v>
      </c>
    </row>
    <row r="19" spans="1:2" ht="25.05" customHeight="1" x14ac:dyDescent="0.4">
      <c r="A19" s="26">
        <v>14</v>
      </c>
      <c r="B19" s="27" t="s">
        <v>156</v>
      </c>
    </row>
    <row r="20" spans="1:2" ht="25.05" customHeight="1" x14ac:dyDescent="0.4">
      <c r="A20" s="26">
        <v>15</v>
      </c>
      <c r="B20" s="27" t="s">
        <v>157</v>
      </c>
    </row>
    <row r="21" spans="1:2" ht="25.05" customHeight="1" x14ac:dyDescent="0.4">
      <c r="A21" s="26">
        <v>16</v>
      </c>
      <c r="B21" s="27" t="s">
        <v>158</v>
      </c>
    </row>
    <row r="22" spans="1:2" ht="25.05" customHeight="1" x14ac:dyDescent="0.4">
      <c r="A22" s="26">
        <v>17</v>
      </c>
      <c r="B22" s="27" t="s">
        <v>159</v>
      </c>
    </row>
    <row r="23" spans="1:2" ht="25.05" customHeight="1" x14ac:dyDescent="0.4">
      <c r="A23" s="26">
        <v>18</v>
      </c>
      <c r="B23" s="27" t="s">
        <v>160</v>
      </c>
    </row>
  </sheetData>
  <mergeCells count="2">
    <mergeCell ref="A3:B3"/>
    <mergeCell ref="A1:B1"/>
  </mergeCells>
  <hyperlinks>
    <hyperlink ref="B8" location="'TRONCAL X EQUIPO I SEM'!B1" display="EMPRESAS DE TRANSPORTE AÉREO PASAJEROS REGULAR NACIONAL  I SEMESTRE"/>
    <hyperlink ref="B9" location="'TRONCAL POR EQUIPO II SEM'!B1" display="EMPRESAS DE TRANSPORTE AÉREO PASAJEROS REGULAR NACIONAL  II SEMESTRE "/>
    <hyperlink ref="B14" location="'CARGA  I SEM 2011'!B1" display="EMPRESAS DE TRANSPORTE AÉREO  CARGA I SEMESTRE"/>
    <hyperlink ref="B15" location="'CARGA II SEM 2011'!B1" display="EMPRESAS DE TRANSPORTE AÉREO  CARGA II SEMESTRE"/>
    <hyperlink ref="B16" location="'COMERC. REGIO I SEM'!B1" display="EMPRESAS DE TRANSPORTE AÉREO  COMERCIAL REGIONAL  I SEMESTRE "/>
    <hyperlink ref="B17" location="'COM. REGIO II SEM'!B1" display="EMPRESAS DE TRANSPORTE AÉREO  COMERCIAL REGIONAL  II SEMESTRE"/>
    <hyperlink ref="B18" location="'AEROTAXIS I SEM'!B1" display="EMPRESAS DE TRANSPORTE AÉREO - AEROTAXIS  I SEMESTRE"/>
    <hyperlink ref="B19" location="'AEROTAXI  II SEM'!B1" display="EMPRESAS DE TRANSPORTE AÉREO - AEROTAXIS  II SEMESTRE"/>
    <hyperlink ref="B20" location="'TRABAJ AEREOS ESPEC I SEM 2011'!A1" display="TRABAJOS AEREOS ESPECIALES I SEMESTRE"/>
    <hyperlink ref="B21" location="'TRABAJ AEREOS ESPEC II SEM 2011'!A1" display="TRABAJOS AEREOS ESPECIALES II SEMESTRE"/>
    <hyperlink ref="B22" location="'AVIACION AGRICOLA  I SEM 2011'!A1" display="TRABAJOS AEREOS ESPECIALES  - AVIACION AGRICOLA  - I SEMESTRE"/>
    <hyperlink ref="A1" location="'TRONCAL X EQUIPO I SEM'!A1" display="C O N T E N I D O"/>
    <hyperlink ref="B23" location="'AVIACION AGRICOLA II SEM 2011'!B1" display="TRABAJOS AEREOS ESPECIALES  - AVIACION AGRICOLA  - II SEMESTRE"/>
    <hyperlink ref="B10" location="'PAX-  EXTRANJEROS I SEM'!B1" display="EMPRESAS DE TRANSPORTE AÉREO PASAJEROS REGULAR INTERNACIONAL  I SEMESTRE "/>
    <hyperlink ref="B11" location="'PAX - EXTRANJEROS II SEM'!B1" display="EMPRESAS DE TRANSPORTE AÉREO PASAJEROS REGULAR INTERNACIONAL  II SEMESTRE "/>
    <hyperlink ref="B12" location="'CARGA -EXTRANJERA I SEM'!A1" display="EMPRESAS DE TRANSPORTE AÉREO CARGA INTERNACIONAL  I  SEMESTRE "/>
    <hyperlink ref="B13" location="'CARGA - EXTRANJERA II SEM'!A1" display="EMPRESAS DE TRANSPORTE AÉREO CARGA INTERNACIONAL  II  SEMESTRE "/>
    <hyperlink ref="B6" location="'EMPRESAS - TIPO AERONAVE'!A1" display="RELACION EMPRESAS - TIPO AERONAVE"/>
    <hyperlink ref="B7" location="COBERTURA!A1" display="COBERTURA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workbookViewId="0">
      <selection activeCell="B43" sqref="B43"/>
    </sheetView>
  </sheetViews>
  <sheetFormatPr baseColWidth="10" defaultRowHeight="14.4" x14ac:dyDescent="0.3"/>
  <cols>
    <col min="1" max="1" width="26.26953125" style="96" customWidth="1"/>
    <col min="2" max="3" width="9" style="96" customWidth="1"/>
    <col min="4" max="9" width="10" style="96" customWidth="1"/>
    <col min="10" max="10" width="9" style="96" customWidth="1"/>
    <col min="11" max="11" width="10" style="96" customWidth="1"/>
    <col min="12" max="12" width="7.7265625" style="96" customWidth="1"/>
    <col min="13" max="13" width="13.453125" style="97" customWidth="1"/>
    <col min="14" max="16384" width="10.90625" style="28"/>
  </cols>
  <sheetData>
    <row r="1" spans="1:13" ht="15" thickBot="1" x14ac:dyDescent="0.35">
      <c r="A1" s="206" t="s">
        <v>166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13" ht="15" thickBot="1" x14ac:dyDescent="0.3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3" ht="15" thickBot="1" x14ac:dyDescent="0.35">
      <c r="A3" s="45" t="s">
        <v>0</v>
      </c>
      <c r="B3" s="45" t="s">
        <v>38</v>
      </c>
      <c r="C3" s="45" t="s">
        <v>39</v>
      </c>
      <c r="D3" s="45" t="s">
        <v>33</v>
      </c>
      <c r="E3" s="45" t="s">
        <v>28</v>
      </c>
      <c r="F3" s="45" t="s">
        <v>13</v>
      </c>
      <c r="G3" s="45" t="s">
        <v>23</v>
      </c>
      <c r="H3" s="45" t="s">
        <v>4</v>
      </c>
      <c r="I3" s="45" t="s">
        <v>19</v>
      </c>
      <c r="J3" s="45" t="s">
        <v>40</v>
      </c>
      <c r="K3" s="45" t="s">
        <v>26</v>
      </c>
    </row>
    <row r="4" spans="1:13" x14ac:dyDescent="0.3">
      <c r="A4" s="48" t="s">
        <v>87</v>
      </c>
      <c r="B4" s="49">
        <v>455603.5</v>
      </c>
      <c r="C4" s="49">
        <v>630000</v>
      </c>
      <c r="D4" s="49">
        <v>604659.5</v>
      </c>
      <c r="E4" s="49">
        <v>478482</v>
      </c>
      <c r="F4" s="49">
        <v>761854.5</v>
      </c>
      <c r="G4" s="49">
        <f>2130851+614155</f>
        <v>2745006</v>
      </c>
      <c r="H4" s="49">
        <v>0</v>
      </c>
      <c r="I4" s="49">
        <v>1664551.3333333333</v>
      </c>
      <c r="J4" s="49">
        <v>236474.33333333334</v>
      </c>
      <c r="K4" s="50">
        <v>2884265.5</v>
      </c>
    </row>
    <row r="5" spans="1:13" x14ac:dyDescent="0.3">
      <c r="A5" s="87" t="s">
        <v>88</v>
      </c>
      <c r="B5" s="54">
        <v>195466.5</v>
      </c>
      <c r="C5" s="54">
        <v>197000</v>
      </c>
      <c r="D5" s="54">
        <v>612728.5</v>
      </c>
      <c r="E5" s="54">
        <v>306383</v>
      </c>
      <c r="F5" s="54">
        <v>612801.5</v>
      </c>
      <c r="G5" s="54">
        <v>0</v>
      </c>
      <c r="H5" s="54">
        <v>0</v>
      </c>
      <c r="I5" s="54">
        <v>1233.6666666666667</v>
      </c>
      <c r="J5" s="54">
        <v>41306.666666666664</v>
      </c>
      <c r="K5" s="57">
        <v>0</v>
      </c>
    </row>
    <row r="6" spans="1:13" x14ac:dyDescent="0.3">
      <c r="A6" s="87" t="s">
        <v>133</v>
      </c>
      <c r="B6" s="54">
        <v>802865</v>
      </c>
      <c r="C6" s="54">
        <v>825000</v>
      </c>
      <c r="D6" s="54">
        <v>203997</v>
      </c>
      <c r="E6" s="54">
        <v>374420</v>
      </c>
      <c r="F6" s="54">
        <v>1338623</v>
      </c>
      <c r="G6" s="54">
        <v>124611</v>
      </c>
      <c r="H6" s="54">
        <v>0</v>
      </c>
      <c r="I6" s="54">
        <v>52094.333333333336</v>
      </c>
      <c r="J6" s="54">
        <v>33940.333333333336</v>
      </c>
      <c r="K6" s="57">
        <v>0</v>
      </c>
    </row>
    <row r="7" spans="1:13" x14ac:dyDescent="0.3">
      <c r="A7" s="87" t="s">
        <v>90</v>
      </c>
      <c r="B7" s="54">
        <v>156599</v>
      </c>
      <c r="C7" s="54">
        <v>152000</v>
      </c>
      <c r="D7" s="54">
        <v>1269830</v>
      </c>
      <c r="E7" s="54">
        <v>1257911.5</v>
      </c>
      <c r="F7" s="54">
        <v>995059.5</v>
      </c>
      <c r="G7" s="54">
        <v>6054324</v>
      </c>
      <c r="H7" s="54">
        <v>1991693</v>
      </c>
      <c r="I7" s="54">
        <v>4050841.6666666665</v>
      </c>
      <c r="J7" s="54">
        <v>146449.66666666666</v>
      </c>
      <c r="K7" s="57">
        <v>1229274.5</v>
      </c>
    </row>
    <row r="8" spans="1:13" x14ac:dyDescent="0.3">
      <c r="A8" s="87" t="s">
        <v>91</v>
      </c>
      <c r="B8" s="54">
        <v>661718.5</v>
      </c>
      <c r="C8" s="54">
        <v>2571428</v>
      </c>
      <c r="D8" s="54">
        <v>767908</v>
      </c>
      <c r="E8" s="54">
        <v>528039.25</v>
      </c>
      <c r="F8" s="54">
        <v>557290.5</v>
      </c>
      <c r="G8" s="54">
        <f>776149+2577671</f>
        <v>3353820</v>
      </c>
      <c r="H8" s="54">
        <v>363955</v>
      </c>
      <c r="I8" s="54">
        <v>843580.66666666663</v>
      </c>
      <c r="J8" s="54">
        <v>254345.33333333334</v>
      </c>
      <c r="K8" s="57">
        <v>1735949</v>
      </c>
    </row>
    <row r="9" spans="1:13" x14ac:dyDescent="0.3">
      <c r="A9" s="87" t="s">
        <v>93</v>
      </c>
      <c r="B9" s="54">
        <v>2767350</v>
      </c>
      <c r="C9" s="54">
        <v>3854250</v>
      </c>
      <c r="D9" s="54">
        <v>4824469</v>
      </c>
      <c r="E9" s="54">
        <v>6457187</v>
      </c>
      <c r="F9" s="54">
        <v>7101215</v>
      </c>
      <c r="G9" s="54">
        <v>19825641</v>
      </c>
      <c r="H9" s="54">
        <v>11165839</v>
      </c>
      <c r="I9" s="54">
        <v>10225932.333333334</v>
      </c>
      <c r="J9" s="54">
        <v>852670.66666666663</v>
      </c>
      <c r="K9" s="57">
        <v>4981624.5</v>
      </c>
    </row>
    <row r="10" spans="1:13" x14ac:dyDescent="0.3">
      <c r="A10" s="87" t="s">
        <v>134</v>
      </c>
      <c r="B10" s="54">
        <v>0</v>
      </c>
      <c r="C10" s="54">
        <v>0</v>
      </c>
      <c r="D10" s="54">
        <v>109021</v>
      </c>
      <c r="E10" s="54">
        <v>54508.5</v>
      </c>
      <c r="F10" s="54">
        <v>73814.5</v>
      </c>
      <c r="G10" s="54">
        <v>2098808</v>
      </c>
      <c r="H10" s="54">
        <v>0</v>
      </c>
      <c r="I10" s="54">
        <v>249781</v>
      </c>
      <c r="J10" s="54">
        <v>0</v>
      </c>
      <c r="K10" s="57">
        <v>0</v>
      </c>
    </row>
    <row r="11" spans="1:13" ht="15" thickBot="1" x14ac:dyDescent="0.35">
      <c r="A11" s="136" t="s">
        <v>95</v>
      </c>
      <c r="B11" s="137">
        <v>1413338</v>
      </c>
      <c r="C11" s="137">
        <v>1020000</v>
      </c>
      <c r="D11" s="137">
        <v>201262.5</v>
      </c>
      <c r="E11" s="137">
        <v>403440.75</v>
      </c>
      <c r="F11" s="137">
        <v>1252346.5</v>
      </c>
      <c r="G11" s="137">
        <v>0</v>
      </c>
      <c r="H11" s="137">
        <v>0</v>
      </c>
      <c r="I11" s="137">
        <v>13552204.666666666</v>
      </c>
      <c r="J11" s="137">
        <v>0</v>
      </c>
      <c r="K11" s="138">
        <v>0</v>
      </c>
    </row>
    <row r="12" spans="1:13" ht="15" thickBot="1" x14ac:dyDescent="0.35">
      <c r="A12" s="139" t="s">
        <v>107</v>
      </c>
      <c r="B12" s="140">
        <f>SUM(B4:B11)</f>
        <v>6452940.5</v>
      </c>
      <c r="C12" s="140">
        <f t="shared" ref="C12:K12" si="0">SUM(C4:C11)</f>
        <v>9249678</v>
      </c>
      <c r="D12" s="140">
        <f t="shared" si="0"/>
        <v>8593875.5</v>
      </c>
      <c r="E12" s="140">
        <f t="shared" si="0"/>
        <v>9860372</v>
      </c>
      <c r="F12" s="140">
        <f t="shared" si="0"/>
        <v>12693005</v>
      </c>
      <c r="G12" s="140">
        <f t="shared" si="0"/>
        <v>34202210</v>
      </c>
      <c r="H12" s="140">
        <f t="shared" si="0"/>
        <v>13521487</v>
      </c>
      <c r="I12" s="140">
        <f t="shared" si="0"/>
        <v>30640219.666666664</v>
      </c>
      <c r="J12" s="140">
        <f t="shared" si="0"/>
        <v>1565187</v>
      </c>
      <c r="K12" s="140">
        <f t="shared" si="0"/>
        <v>10831113.5</v>
      </c>
      <c r="M12" s="168"/>
    </row>
    <row r="13" spans="1:13" x14ac:dyDescent="0.3">
      <c r="A13" s="52" t="s">
        <v>96</v>
      </c>
      <c r="B13" s="53">
        <v>464775.5</v>
      </c>
      <c r="C13" s="53">
        <v>305000</v>
      </c>
      <c r="D13" s="53">
        <v>1831767</v>
      </c>
      <c r="E13" s="53">
        <v>1190313.5</v>
      </c>
      <c r="F13" s="53">
        <v>1143130.5</v>
      </c>
      <c r="G13" s="53">
        <v>1030712</v>
      </c>
      <c r="H13" s="53">
        <v>0</v>
      </c>
      <c r="I13" s="53">
        <v>913108.33333333337</v>
      </c>
      <c r="J13" s="53">
        <v>233221.33333333334</v>
      </c>
      <c r="K13" s="71">
        <v>205666.5</v>
      </c>
      <c r="M13" s="28"/>
    </row>
    <row r="14" spans="1:13" x14ac:dyDescent="0.3">
      <c r="A14" s="87" t="s">
        <v>129</v>
      </c>
      <c r="B14" s="54">
        <v>25000</v>
      </c>
      <c r="C14" s="54">
        <v>0</v>
      </c>
      <c r="D14" s="54">
        <v>138474.5</v>
      </c>
      <c r="E14" s="54">
        <v>132132</v>
      </c>
      <c r="F14" s="54">
        <v>198125</v>
      </c>
      <c r="G14" s="54">
        <v>4573231</v>
      </c>
      <c r="H14" s="54">
        <v>0</v>
      </c>
      <c r="I14" s="54">
        <v>954287.33333333337</v>
      </c>
      <c r="J14" s="54">
        <v>9958.3333333333339</v>
      </c>
      <c r="K14" s="57">
        <v>1033</v>
      </c>
      <c r="M14" s="28"/>
    </row>
    <row r="15" spans="1:13" ht="15" thickBot="1" x14ac:dyDescent="0.35">
      <c r="A15" s="136" t="s">
        <v>138</v>
      </c>
      <c r="B15" s="137">
        <v>141358</v>
      </c>
      <c r="C15" s="137">
        <v>214312</v>
      </c>
      <c r="D15" s="137">
        <v>942342.5</v>
      </c>
      <c r="E15" s="137">
        <v>584990</v>
      </c>
      <c r="F15" s="137">
        <v>588741</v>
      </c>
      <c r="G15" s="137">
        <v>760128</v>
      </c>
      <c r="H15" s="137">
        <v>0</v>
      </c>
      <c r="I15" s="137">
        <v>-46481.333333333336</v>
      </c>
      <c r="J15" s="137">
        <v>124679.66666666667</v>
      </c>
      <c r="K15" s="138">
        <v>867.5</v>
      </c>
      <c r="M15" s="28"/>
    </row>
    <row r="16" spans="1:13" ht="15" thickBot="1" x14ac:dyDescent="0.35">
      <c r="A16" s="139" t="s">
        <v>111</v>
      </c>
      <c r="B16" s="140">
        <f>SUM(B13:B15)</f>
        <v>631133.5</v>
      </c>
      <c r="C16" s="140">
        <f t="shared" ref="C16:K16" si="1">SUM(C13:C15)</f>
        <v>519312</v>
      </c>
      <c r="D16" s="140">
        <f t="shared" si="1"/>
        <v>2912584</v>
      </c>
      <c r="E16" s="140">
        <f t="shared" si="1"/>
        <v>1907435.5</v>
      </c>
      <c r="F16" s="140">
        <f t="shared" si="1"/>
        <v>1929996.5</v>
      </c>
      <c r="G16" s="140">
        <f t="shared" si="1"/>
        <v>6364071</v>
      </c>
      <c r="H16" s="140">
        <f t="shared" si="1"/>
        <v>0</v>
      </c>
      <c r="I16" s="140">
        <f t="shared" si="1"/>
        <v>1820914.3333333335</v>
      </c>
      <c r="J16" s="140">
        <f t="shared" si="1"/>
        <v>367859.33333333337</v>
      </c>
      <c r="K16" s="140">
        <f t="shared" si="1"/>
        <v>207567</v>
      </c>
    </row>
    <row r="17" spans="1:11" ht="15" thickBot="1" x14ac:dyDescent="0.35">
      <c r="A17" s="142" t="s">
        <v>86</v>
      </c>
      <c r="B17" s="143">
        <f>+B12+B16</f>
        <v>7084074</v>
      </c>
      <c r="C17" s="143">
        <f t="shared" ref="C17:K17" si="2">+C12+C16</f>
        <v>9768990</v>
      </c>
      <c r="D17" s="143">
        <f t="shared" si="2"/>
        <v>11506459.5</v>
      </c>
      <c r="E17" s="143">
        <f t="shared" si="2"/>
        <v>11767807.5</v>
      </c>
      <c r="F17" s="143">
        <f t="shared" si="2"/>
        <v>14623001.5</v>
      </c>
      <c r="G17" s="143">
        <f t="shared" si="2"/>
        <v>40566281</v>
      </c>
      <c r="H17" s="143">
        <f t="shared" si="2"/>
        <v>13521487</v>
      </c>
      <c r="I17" s="143">
        <f t="shared" si="2"/>
        <v>32461133.999999996</v>
      </c>
      <c r="J17" s="143">
        <f t="shared" si="2"/>
        <v>1933046.3333333335</v>
      </c>
      <c r="K17" s="143">
        <f t="shared" si="2"/>
        <v>11038680.5</v>
      </c>
    </row>
    <row r="18" spans="1:11" x14ac:dyDescent="0.3">
      <c r="A18" s="52" t="s">
        <v>1</v>
      </c>
      <c r="B18" s="53">
        <v>625</v>
      </c>
      <c r="C18" s="53">
        <v>27</v>
      </c>
      <c r="D18" s="53">
        <v>473</v>
      </c>
      <c r="E18" s="53">
        <v>3129</v>
      </c>
      <c r="F18" s="53">
        <v>1234</v>
      </c>
      <c r="G18" s="53">
        <v>34749</v>
      </c>
      <c r="H18" s="53">
        <v>10</v>
      </c>
      <c r="I18" s="53">
        <v>12703</v>
      </c>
      <c r="J18" s="53">
        <v>2107</v>
      </c>
      <c r="K18" s="71">
        <v>6212</v>
      </c>
    </row>
    <row r="19" spans="1:11" x14ac:dyDescent="0.3">
      <c r="A19" s="87" t="s">
        <v>2</v>
      </c>
      <c r="B19" s="54">
        <v>785</v>
      </c>
      <c r="C19" s="54">
        <v>26</v>
      </c>
      <c r="D19" s="54">
        <v>1123</v>
      </c>
      <c r="E19" s="54">
        <v>2413</v>
      </c>
      <c r="F19" s="54">
        <v>866</v>
      </c>
      <c r="G19" s="54">
        <v>1338</v>
      </c>
      <c r="H19" s="54">
        <v>3</v>
      </c>
      <c r="I19" s="54">
        <v>2164</v>
      </c>
      <c r="J19" s="54">
        <v>1560</v>
      </c>
      <c r="K19" s="57">
        <v>822</v>
      </c>
    </row>
    <row r="20" spans="1:11" ht="15" thickBot="1" x14ac:dyDescent="0.35">
      <c r="A20" s="101" t="s">
        <v>85</v>
      </c>
      <c r="B20" s="102">
        <v>4</v>
      </c>
      <c r="C20" s="102">
        <v>1</v>
      </c>
      <c r="D20" s="102">
        <v>4</v>
      </c>
      <c r="E20" s="102">
        <v>11</v>
      </c>
      <c r="F20" s="102">
        <v>3</v>
      </c>
      <c r="G20" s="102">
        <v>13</v>
      </c>
      <c r="H20" s="102">
        <v>1</v>
      </c>
      <c r="I20" s="102">
        <v>10</v>
      </c>
      <c r="J20" s="102">
        <v>7</v>
      </c>
      <c r="K20" s="104">
        <v>8</v>
      </c>
    </row>
    <row r="21" spans="1:11" ht="15" thickBot="1" x14ac:dyDescent="0.35"/>
    <row r="22" spans="1:11" ht="15" thickBot="1" x14ac:dyDescent="0.35">
      <c r="A22" s="186" t="s">
        <v>118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10"/>
    </row>
    <row r="23" spans="1:11" x14ac:dyDescent="0.3">
      <c r="A23" s="52" t="s">
        <v>87</v>
      </c>
      <c r="B23" s="134">
        <f>+B4/B$17</f>
        <v>6.4313769167289897E-2</v>
      </c>
      <c r="C23" s="134">
        <f t="shared" ref="C23:K23" si="3">+C4/C$17</f>
        <v>6.4489778370128328E-2</v>
      </c>
      <c r="D23" s="134">
        <f t="shared" si="3"/>
        <v>5.2549570091477746E-2</v>
      </c>
      <c r="E23" s="134">
        <f t="shared" si="3"/>
        <v>4.0660250433226408E-2</v>
      </c>
      <c r="F23" s="134">
        <f t="shared" si="3"/>
        <v>5.2099734791109749E-2</v>
      </c>
      <c r="G23" s="134">
        <f t="shared" si="3"/>
        <v>6.7667183984649715E-2</v>
      </c>
      <c r="H23" s="134">
        <f t="shared" si="3"/>
        <v>0</v>
      </c>
      <c r="I23" s="134">
        <f t="shared" si="3"/>
        <v>5.1278286622190507E-2</v>
      </c>
      <c r="J23" s="134">
        <f t="shared" si="3"/>
        <v>0.1223324703891388</v>
      </c>
      <c r="K23" s="134">
        <f t="shared" si="3"/>
        <v>0.26128716199368213</v>
      </c>
    </row>
    <row r="24" spans="1:11" x14ac:dyDescent="0.3">
      <c r="A24" s="87" t="s">
        <v>88</v>
      </c>
      <c r="B24" s="85">
        <f t="shared" ref="B24:K24" si="4">+B5/B$17</f>
        <v>2.7592385398571499E-2</v>
      </c>
      <c r="C24" s="85">
        <f t="shared" si="4"/>
        <v>2.016585133161156E-2</v>
      </c>
      <c r="D24" s="85">
        <f t="shared" si="4"/>
        <v>5.3250828371663762E-2</v>
      </c>
      <c r="E24" s="85">
        <f t="shared" si="4"/>
        <v>2.6035691015509899E-2</v>
      </c>
      <c r="F24" s="85">
        <f t="shared" si="4"/>
        <v>4.1906683795389067E-2</v>
      </c>
      <c r="G24" s="85">
        <f t="shared" si="4"/>
        <v>0</v>
      </c>
      <c r="H24" s="85">
        <f t="shared" si="4"/>
        <v>0</v>
      </c>
      <c r="I24" s="85">
        <f t="shared" si="4"/>
        <v>3.8004422971380696E-5</v>
      </c>
      <c r="J24" s="85">
        <f t="shared" si="4"/>
        <v>2.1368689386476163E-2</v>
      </c>
      <c r="K24" s="85">
        <f t="shared" si="4"/>
        <v>0</v>
      </c>
    </row>
    <row r="25" spans="1:11" x14ac:dyDescent="0.3">
      <c r="A25" s="87" t="s">
        <v>89</v>
      </c>
      <c r="B25" s="85">
        <f t="shared" ref="B25:K25" si="5">+B6/B$17</f>
        <v>0.11333379634374231</v>
      </c>
      <c r="C25" s="85">
        <f t="shared" si="5"/>
        <v>8.4450900246596627E-2</v>
      </c>
      <c r="D25" s="85">
        <f t="shared" si="5"/>
        <v>1.7728911312815208E-2</v>
      </c>
      <c r="E25" s="85">
        <f t="shared" si="5"/>
        <v>3.1817311763469955E-2</v>
      </c>
      <c r="F25" s="85">
        <f t="shared" si="5"/>
        <v>9.1542286992174621E-2</v>
      </c>
      <c r="G25" s="85">
        <f t="shared" si="5"/>
        <v>3.0717876257870423E-3</v>
      </c>
      <c r="H25" s="85">
        <f t="shared" si="5"/>
        <v>0</v>
      </c>
      <c r="I25" s="85">
        <f t="shared" si="5"/>
        <v>1.6048217333791649E-3</v>
      </c>
      <c r="J25" s="85">
        <f t="shared" si="5"/>
        <v>1.7557951275180679E-2</v>
      </c>
      <c r="K25" s="85">
        <f t="shared" si="5"/>
        <v>0</v>
      </c>
    </row>
    <row r="26" spans="1:11" x14ac:dyDescent="0.3">
      <c r="A26" s="87" t="s">
        <v>90</v>
      </c>
      <c r="B26" s="85">
        <f t="shared" ref="B26:K26" si="6">+B7/B$17</f>
        <v>2.210578263298774E-2</v>
      </c>
      <c r="C26" s="85">
        <f t="shared" si="6"/>
        <v>1.5559438590888106E-2</v>
      </c>
      <c r="D26" s="85">
        <f t="shared" si="6"/>
        <v>0.11035801238426121</v>
      </c>
      <c r="E26" s="85">
        <f t="shared" si="6"/>
        <v>0.10689429615499743</v>
      </c>
      <c r="F26" s="85">
        <f t="shared" si="6"/>
        <v>6.8047555079577882E-2</v>
      </c>
      <c r="G26" s="85">
        <f t="shared" si="6"/>
        <v>0.14924523152615346</v>
      </c>
      <c r="H26" s="85">
        <f t="shared" si="6"/>
        <v>0.14729837036414709</v>
      </c>
      <c r="I26" s="85">
        <f t="shared" si="6"/>
        <v>0.12479051614976443</v>
      </c>
      <c r="J26" s="85">
        <f t="shared" si="6"/>
        <v>7.5761074187047417E-2</v>
      </c>
      <c r="K26" s="85">
        <f t="shared" si="6"/>
        <v>0.11136063771390067</v>
      </c>
    </row>
    <row r="27" spans="1:11" x14ac:dyDescent="0.3">
      <c r="A27" s="87" t="s">
        <v>91</v>
      </c>
      <c r="B27" s="85">
        <f t="shared" ref="B27:K27" si="7">+B8/B$17</f>
        <v>9.3409315035387824E-2</v>
      </c>
      <c r="C27" s="85">
        <f t="shared" si="7"/>
        <v>0.26322352669006727</v>
      </c>
      <c r="D27" s="85">
        <f t="shared" si="7"/>
        <v>6.6737122743968286E-2</v>
      </c>
      <c r="E27" s="85">
        <f t="shared" si="7"/>
        <v>4.4871506438221395E-2</v>
      </c>
      <c r="F27" s="85">
        <f t="shared" si="7"/>
        <v>3.8110541122491168E-2</v>
      </c>
      <c r="G27" s="85">
        <f t="shared" si="7"/>
        <v>8.2675067009470249E-2</v>
      </c>
      <c r="H27" s="85">
        <f t="shared" si="7"/>
        <v>2.6916788072199455E-2</v>
      </c>
      <c r="I27" s="85">
        <f t="shared" si="7"/>
        <v>2.5987405944187494E-2</v>
      </c>
      <c r="J27" s="85">
        <f t="shared" si="7"/>
        <v>0.13157746348207897</v>
      </c>
      <c r="K27" s="85">
        <f t="shared" si="7"/>
        <v>0.15726055301627762</v>
      </c>
    </row>
    <row r="28" spans="1:11" x14ac:dyDescent="0.3">
      <c r="A28" s="87" t="s">
        <v>92</v>
      </c>
      <c r="B28" s="85">
        <f t="shared" ref="B28:K28" si="8">+B9/B$17</f>
        <v>0.39064385832220272</v>
      </c>
      <c r="C28" s="85">
        <f t="shared" si="8"/>
        <v>0.39453925124296368</v>
      </c>
      <c r="D28" s="85">
        <f t="shared" si="8"/>
        <v>0.41928353374033084</v>
      </c>
      <c r="E28" s="85">
        <f t="shared" si="8"/>
        <v>0.54871623282416881</v>
      </c>
      <c r="F28" s="85">
        <f t="shared" si="8"/>
        <v>0.48561952209332676</v>
      </c>
      <c r="G28" s="85">
        <f t="shared" si="8"/>
        <v>0.48872217297908083</v>
      </c>
      <c r="H28" s="85">
        <f t="shared" si="8"/>
        <v>0.8257848415636535</v>
      </c>
      <c r="I28" s="85">
        <f t="shared" si="8"/>
        <v>0.31502079789736659</v>
      </c>
      <c r="J28" s="85">
        <f t="shared" si="8"/>
        <v>0.44110203256035069</v>
      </c>
      <c r="K28" s="85">
        <f t="shared" si="8"/>
        <v>0.45128804117484878</v>
      </c>
    </row>
    <row r="29" spans="1:11" x14ac:dyDescent="0.3">
      <c r="A29" s="87" t="s">
        <v>126</v>
      </c>
      <c r="B29" s="85">
        <f t="shared" ref="B29:K29" si="9">+B10/B$17</f>
        <v>0</v>
      </c>
      <c r="C29" s="85">
        <f t="shared" si="9"/>
        <v>0</v>
      </c>
      <c r="D29" s="85">
        <f t="shared" si="9"/>
        <v>9.4747650222033984E-3</v>
      </c>
      <c r="E29" s="85">
        <f t="shared" si="9"/>
        <v>4.6320013307491643E-3</v>
      </c>
      <c r="F29" s="85">
        <f t="shared" si="9"/>
        <v>5.0478350836522861E-3</v>
      </c>
      <c r="G29" s="85">
        <f t="shared" si="9"/>
        <v>5.1737747416382589E-2</v>
      </c>
      <c r="H29" s="85">
        <f t="shared" si="9"/>
        <v>0</v>
      </c>
      <c r="I29" s="85">
        <f t="shared" si="9"/>
        <v>7.6947712301116784E-3</v>
      </c>
      <c r="J29" s="85">
        <f t="shared" si="9"/>
        <v>0</v>
      </c>
      <c r="K29" s="85">
        <f t="shared" si="9"/>
        <v>0</v>
      </c>
    </row>
    <row r="30" spans="1:11" x14ac:dyDescent="0.3">
      <c r="A30" s="87" t="s">
        <v>94</v>
      </c>
      <c r="B30" s="85">
        <f t="shared" ref="B30:K30" si="10">+B11/B$17</f>
        <v>0.19950920896647889</v>
      </c>
      <c r="C30" s="85">
        <f t="shared" si="10"/>
        <v>0.10441202212306493</v>
      </c>
      <c r="D30" s="85">
        <f t="shared" si="10"/>
        <v>1.7491262190598246E-2</v>
      </c>
      <c r="E30" s="85">
        <f t="shared" si="10"/>
        <v>3.4283425353448381E-2</v>
      </c>
      <c r="F30" s="85">
        <f t="shared" si="10"/>
        <v>8.5642232889054953E-2</v>
      </c>
      <c r="G30" s="85">
        <f t="shared" si="10"/>
        <v>0</v>
      </c>
      <c r="H30" s="85">
        <f t="shared" si="10"/>
        <v>0</v>
      </c>
      <c r="I30" s="85">
        <f t="shared" si="10"/>
        <v>0.41749017969201779</v>
      </c>
      <c r="J30" s="85">
        <f t="shared" si="10"/>
        <v>0</v>
      </c>
      <c r="K30" s="85">
        <f t="shared" si="10"/>
        <v>0</v>
      </c>
    </row>
    <row r="31" spans="1:11" ht="15" thickBot="1" x14ac:dyDescent="0.35">
      <c r="A31" s="87" t="s">
        <v>95</v>
      </c>
      <c r="B31" s="85">
        <f t="shared" ref="B31:K31" si="11">+B12/B$17</f>
        <v>0.91090811586666087</v>
      </c>
      <c r="C31" s="85">
        <f t="shared" si="11"/>
        <v>0.94684076859532051</v>
      </c>
      <c r="D31" s="85">
        <f t="shared" si="11"/>
        <v>0.74687400585731867</v>
      </c>
      <c r="E31" s="85">
        <f t="shared" si="11"/>
        <v>0.83791071531379147</v>
      </c>
      <c r="F31" s="85">
        <f t="shared" si="11"/>
        <v>0.86801639184677648</v>
      </c>
      <c r="G31" s="85">
        <f t="shared" si="11"/>
        <v>0.84311919054152384</v>
      </c>
      <c r="H31" s="85">
        <f t="shared" si="11"/>
        <v>1</v>
      </c>
      <c r="I31" s="85">
        <f t="shared" si="11"/>
        <v>0.94390478369198894</v>
      </c>
      <c r="J31" s="85">
        <f t="shared" si="11"/>
        <v>0.8096996812802727</v>
      </c>
      <c r="K31" s="85">
        <f t="shared" si="11"/>
        <v>0.98119639389870916</v>
      </c>
    </row>
    <row r="32" spans="1:11" ht="15" thickBot="1" x14ac:dyDescent="0.35">
      <c r="A32" s="145" t="s">
        <v>107</v>
      </c>
      <c r="B32" s="146">
        <f>+B12/B$17</f>
        <v>0.91090811586666087</v>
      </c>
      <c r="C32" s="146">
        <f t="shared" ref="C32:K32" si="12">+C12/C$17</f>
        <v>0.94684076859532051</v>
      </c>
      <c r="D32" s="146">
        <f t="shared" si="12"/>
        <v>0.74687400585731867</v>
      </c>
      <c r="E32" s="146">
        <f t="shared" si="12"/>
        <v>0.83791071531379147</v>
      </c>
      <c r="F32" s="146">
        <f t="shared" si="12"/>
        <v>0.86801639184677648</v>
      </c>
      <c r="G32" s="146">
        <f t="shared" si="12"/>
        <v>0.84311919054152384</v>
      </c>
      <c r="H32" s="146">
        <f t="shared" si="12"/>
        <v>1</v>
      </c>
      <c r="I32" s="146">
        <f t="shared" si="12"/>
        <v>0.94390478369198894</v>
      </c>
      <c r="J32" s="146">
        <f t="shared" si="12"/>
        <v>0.8096996812802727</v>
      </c>
      <c r="K32" s="146">
        <f t="shared" si="12"/>
        <v>0.98119639389870916</v>
      </c>
    </row>
    <row r="33" spans="1:11" x14ac:dyDescent="0.3">
      <c r="A33" s="87" t="s">
        <v>96</v>
      </c>
      <c r="B33" s="85">
        <f>+B13/B$17</f>
        <v>6.5608504371919327E-2</v>
      </c>
      <c r="C33" s="85">
        <f t="shared" ref="C33:K33" si="13">+C13/C$17</f>
        <v>3.1221241909347844E-2</v>
      </c>
      <c r="D33" s="85">
        <f t="shared" si="13"/>
        <v>0.15919466800365481</v>
      </c>
      <c r="E33" s="85">
        <f t="shared" si="13"/>
        <v>0.10114998057199695</v>
      </c>
      <c r="F33" s="85">
        <f t="shared" si="13"/>
        <v>7.8173451599522853E-2</v>
      </c>
      <c r="G33" s="85">
        <f t="shared" si="13"/>
        <v>2.5408096936467998E-2</v>
      </c>
      <c r="H33" s="85">
        <f t="shared" si="13"/>
        <v>0</v>
      </c>
      <c r="I33" s="85">
        <f t="shared" si="13"/>
        <v>2.8129280182674254E-2</v>
      </c>
      <c r="J33" s="85">
        <f t="shared" si="13"/>
        <v>0.12064963436813637</v>
      </c>
      <c r="K33" s="85">
        <f t="shared" si="13"/>
        <v>1.8631438784735187E-2</v>
      </c>
    </row>
    <row r="34" spans="1:11" x14ac:dyDescent="0.3">
      <c r="A34" s="87" t="s">
        <v>97</v>
      </c>
      <c r="B34" s="85">
        <f t="shared" ref="B34:K34" si="14">+B14/B$17</f>
        <v>3.5290427513885374E-3</v>
      </c>
      <c r="C34" s="85">
        <f t="shared" si="14"/>
        <v>0</v>
      </c>
      <c r="D34" s="85">
        <f t="shared" si="14"/>
        <v>1.2034501142597338E-2</v>
      </c>
      <c r="E34" s="85">
        <f t="shared" si="14"/>
        <v>1.1228259809654433E-2</v>
      </c>
      <c r="F34" s="85">
        <f t="shared" si="14"/>
        <v>1.3548859992936471E-2</v>
      </c>
      <c r="G34" s="85">
        <f t="shared" si="14"/>
        <v>0.11273478581879369</v>
      </c>
      <c r="H34" s="85">
        <f t="shared" si="14"/>
        <v>0</v>
      </c>
      <c r="I34" s="85">
        <f t="shared" si="14"/>
        <v>2.939784338197592E-2</v>
      </c>
      <c r="J34" s="85">
        <f t="shared" si="14"/>
        <v>5.1516268190846953E-3</v>
      </c>
      <c r="K34" s="85">
        <f t="shared" si="14"/>
        <v>9.3580025257547771E-5</v>
      </c>
    </row>
    <row r="35" spans="1:11" ht="15" thickBot="1" x14ac:dyDescent="0.35">
      <c r="A35" s="87" t="s">
        <v>98</v>
      </c>
      <c r="B35" s="85">
        <f t="shared" ref="B35:K35" si="15">+B15/B$17</f>
        <v>1.9954337010031232E-2</v>
      </c>
      <c r="C35" s="85">
        <f t="shared" si="15"/>
        <v>2.1937989495331656E-2</v>
      </c>
      <c r="D35" s="85">
        <f t="shared" si="15"/>
        <v>8.1896824996429182E-2</v>
      </c>
      <c r="E35" s="85">
        <f t="shared" si="15"/>
        <v>4.971104430455716E-2</v>
      </c>
      <c r="F35" s="85">
        <f t="shared" si="15"/>
        <v>4.0261296560764215E-2</v>
      </c>
      <c r="G35" s="85">
        <f t="shared" si="15"/>
        <v>1.8737926703214426E-2</v>
      </c>
      <c r="H35" s="85">
        <f t="shared" si="15"/>
        <v>0</v>
      </c>
      <c r="I35" s="85">
        <f t="shared" si="15"/>
        <v>-1.4319072566390731E-3</v>
      </c>
      <c r="J35" s="85">
        <f t="shared" si="15"/>
        <v>6.4499057532506121E-2</v>
      </c>
      <c r="K35" s="85">
        <f t="shared" si="15"/>
        <v>7.8587291298085857E-5</v>
      </c>
    </row>
    <row r="36" spans="1:11" ht="15" thickBot="1" x14ac:dyDescent="0.35">
      <c r="A36" s="147" t="s">
        <v>111</v>
      </c>
      <c r="B36" s="148">
        <f>+B16/B$17</f>
        <v>8.9091884133339086E-2</v>
      </c>
      <c r="C36" s="148">
        <f t="shared" ref="C36:J36" si="16">+C16/C$17</f>
        <v>5.3159231404679499E-2</v>
      </c>
      <c r="D36" s="148">
        <f t="shared" si="16"/>
        <v>0.25312599414268133</v>
      </c>
      <c r="E36" s="148">
        <f t="shared" si="16"/>
        <v>0.16208928468620853</v>
      </c>
      <c r="F36" s="148">
        <f t="shared" si="16"/>
        <v>0.13198360815322355</v>
      </c>
      <c r="G36" s="148">
        <f t="shared" si="16"/>
        <v>0.15688080945847613</v>
      </c>
      <c r="H36" s="148">
        <f t="shared" si="16"/>
        <v>0</v>
      </c>
      <c r="I36" s="148">
        <f t="shared" si="16"/>
        <v>5.6095216308011106E-2</v>
      </c>
      <c r="J36" s="148">
        <f t="shared" si="16"/>
        <v>0.19030031871972719</v>
      </c>
      <c r="K36" s="148">
        <f>+K16/K$17</f>
        <v>1.880360610129082E-2</v>
      </c>
    </row>
    <row r="37" spans="1:11" ht="15" thickBot="1" x14ac:dyDescent="0.35">
      <c r="A37" s="149" t="s">
        <v>86</v>
      </c>
      <c r="B37" s="150">
        <f>+B17/B$17</f>
        <v>1</v>
      </c>
      <c r="C37" s="150">
        <f t="shared" ref="C37:K37" si="17">+C17/C$17</f>
        <v>1</v>
      </c>
      <c r="D37" s="150">
        <f t="shared" si="17"/>
        <v>1</v>
      </c>
      <c r="E37" s="150">
        <f t="shared" si="17"/>
        <v>1</v>
      </c>
      <c r="F37" s="150">
        <f t="shared" si="17"/>
        <v>1</v>
      </c>
      <c r="G37" s="150">
        <f t="shared" si="17"/>
        <v>1</v>
      </c>
      <c r="H37" s="150">
        <f t="shared" si="17"/>
        <v>1</v>
      </c>
      <c r="I37" s="150">
        <f t="shared" si="17"/>
        <v>1</v>
      </c>
      <c r="J37" s="150">
        <f t="shared" si="17"/>
        <v>1</v>
      </c>
      <c r="K37" s="150">
        <f t="shared" si="17"/>
        <v>1</v>
      </c>
    </row>
    <row r="38" spans="1:11" x14ac:dyDescent="0.3">
      <c r="A38" s="28" t="s">
        <v>121</v>
      </c>
      <c r="B38" s="28"/>
      <c r="C38" s="28"/>
      <c r="D38" s="28"/>
      <c r="E38" s="28"/>
      <c r="F38" s="28"/>
      <c r="G38" s="28"/>
      <c r="H38" s="28"/>
    </row>
    <row r="39" spans="1:11" x14ac:dyDescent="0.3">
      <c r="A39" s="28" t="s">
        <v>122</v>
      </c>
      <c r="B39" s="28"/>
      <c r="C39" s="28"/>
      <c r="D39" s="28"/>
      <c r="E39" s="28"/>
      <c r="F39" s="28"/>
      <c r="G39" s="28"/>
      <c r="H39" s="28"/>
    </row>
    <row r="40" spans="1:11" x14ac:dyDescent="0.3">
      <c r="A40" s="28" t="s">
        <v>123</v>
      </c>
      <c r="B40" s="28"/>
      <c r="C40" s="28"/>
      <c r="D40" s="28"/>
      <c r="E40" s="28"/>
      <c r="F40" s="28"/>
      <c r="G40" s="28"/>
      <c r="H40" s="28"/>
    </row>
    <row r="41" spans="1:11" x14ac:dyDescent="0.3">
      <c r="A41" s="95">
        <v>41008</v>
      </c>
      <c r="B41" s="28"/>
      <c r="C41" s="28"/>
      <c r="D41" s="28"/>
      <c r="E41" s="28"/>
      <c r="F41" s="28"/>
      <c r="G41" s="28"/>
      <c r="H41" s="28"/>
    </row>
  </sheetData>
  <mergeCells count="2">
    <mergeCell ref="A1:K1"/>
    <mergeCell ref="A22:K22"/>
  </mergeCells>
  <hyperlinks>
    <hyperlink ref="A1:K1" location="CONTENIDO!A1" display="EMPRESAS DE TRANSPORTE AÉREO  CARGA  - COSTOS DE OPERACIÓN POR TIPO DE AERONAVE -   I SEMESTRE DE 2011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19" workbookViewId="0">
      <selection activeCell="C45" sqref="C45"/>
    </sheetView>
  </sheetViews>
  <sheetFormatPr baseColWidth="10" defaultRowHeight="14.4" x14ac:dyDescent="0.3"/>
  <cols>
    <col min="1" max="1" width="24.6328125" style="96" customWidth="1"/>
    <col min="2" max="2" width="9" style="96" customWidth="1"/>
    <col min="3" max="3" width="9.7265625" style="96" customWidth="1"/>
    <col min="4" max="4" width="10" style="96" customWidth="1"/>
    <col min="5" max="5" width="9" style="96" customWidth="1"/>
    <col min="6" max="6" width="9.7265625" style="96" customWidth="1"/>
    <col min="7" max="7" width="9" style="96" customWidth="1"/>
    <col min="8" max="9" width="10" style="96" customWidth="1"/>
    <col min="10" max="10" width="9.7265625" style="96" customWidth="1"/>
    <col min="11" max="11" width="9" style="96" customWidth="1"/>
    <col min="12" max="13" width="7.7265625" style="96" customWidth="1"/>
    <col min="14" max="14" width="10.6328125" style="97" customWidth="1"/>
    <col min="15" max="16384" width="10.90625" style="28"/>
  </cols>
  <sheetData>
    <row r="1" spans="1:11" ht="15" thickBot="1" x14ac:dyDescent="0.35">
      <c r="A1" s="206" t="s">
        <v>165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5" thickBot="1" x14ac:dyDescent="0.35"/>
    <row r="3" spans="1:11" ht="15" thickBot="1" x14ac:dyDescent="0.35">
      <c r="A3" s="45" t="s">
        <v>0</v>
      </c>
      <c r="B3" s="45" t="s">
        <v>38</v>
      </c>
      <c r="C3" s="45" t="s">
        <v>33</v>
      </c>
      <c r="D3" s="45" t="s">
        <v>28</v>
      </c>
      <c r="E3" s="45" t="s">
        <v>13</v>
      </c>
      <c r="F3" s="45" t="s">
        <v>10</v>
      </c>
      <c r="G3" s="45" t="s">
        <v>27</v>
      </c>
      <c r="H3" s="45" t="s">
        <v>23</v>
      </c>
      <c r="I3" s="45" t="s">
        <v>4</v>
      </c>
      <c r="J3" s="45" t="s">
        <v>19</v>
      </c>
      <c r="K3" s="45" t="s">
        <v>40</v>
      </c>
    </row>
    <row r="4" spans="1:11" x14ac:dyDescent="0.3">
      <c r="A4" s="48" t="s">
        <v>130</v>
      </c>
      <c r="B4" s="49">
        <v>439300</v>
      </c>
      <c r="C4" s="49">
        <v>1497071.5</v>
      </c>
      <c r="D4" s="49">
        <v>1856093.6666666667</v>
      </c>
      <c r="E4" s="49">
        <v>1578745</v>
      </c>
      <c r="F4" s="49">
        <v>1001417</v>
      </c>
      <c r="G4" s="49">
        <v>567174</v>
      </c>
      <c r="H4" s="49">
        <v>2824685</v>
      </c>
      <c r="I4" s="49">
        <v>925000</v>
      </c>
      <c r="J4" s="49">
        <v>1228537.75</v>
      </c>
      <c r="K4" s="50">
        <v>216091.5</v>
      </c>
    </row>
    <row r="5" spans="1:11" x14ac:dyDescent="0.3">
      <c r="A5" s="87" t="s">
        <v>88</v>
      </c>
      <c r="B5" s="54">
        <v>189900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1388</v>
      </c>
      <c r="K5" s="57">
        <v>61960</v>
      </c>
    </row>
    <row r="6" spans="1:11" x14ac:dyDescent="0.3">
      <c r="A6" s="87" t="s">
        <v>89</v>
      </c>
      <c r="B6" s="54">
        <v>337159.5</v>
      </c>
      <c r="C6" s="54">
        <v>270274.5</v>
      </c>
      <c r="D6" s="54">
        <v>381811.83333333331</v>
      </c>
      <c r="E6" s="54">
        <v>189642</v>
      </c>
      <c r="F6" s="54">
        <v>487187</v>
      </c>
      <c r="G6" s="54">
        <v>0</v>
      </c>
      <c r="H6" s="54">
        <v>159301</v>
      </c>
      <c r="I6" s="54">
        <v>1303178</v>
      </c>
      <c r="J6" s="54">
        <v>38692</v>
      </c>
      <c r="K6" s="57">
        <v>43145.5</v>
      </c>
    </row>
    <row r="7" spans="1:11" x14ac:dyDescent="0.3">
      <c r="A7" s="87" t="s">
        <v>90</v>
      </c>
      <c r="B7" s="54">
        <v>195750</v>
      </c>
      <c r="C7" s="54">
        <v>1316704.5</v>
      </c>
      <c r="D7" s="54">
        <v>1672633.5</v>
      </c>
      <c r="E7" s="54">
        <v>1017908</v>
      </c>
      <c r="F7" s="54">
        <v>468743</v>
      </c>
      <c r="G7" s="54">
        <v>0</v>
      </c>
      <c r="H7" s="54">
        <v>6529414</v>
      </c>
      <c r="I7" s="54">
        <v>1991693</v>
      </c>
      <c r="J7" s="54">
        <v>1904256.75</v>
      </c>
      <c r="K7" s="57">
        <v>171717</v>
      </c>
    </row>
    <row r="8" spans="1:11" x14ac:dyDescent="0.3">
      <c r="A8" s="87" t="s">
        <v>91</v>
      </c>
      <c r="B8" s="54">
        <v>665250</v>
      </c>
      <c r="C8" s="54">
        <v>362589.5</v>
      </c>
      <c r="D8" s="54">
        <v>1290483.8333333333</v>
      </c>
      <c r="E8" s="54">
        <v>543762</v>
      </c>
      <c r="F8" s="54">
        <v>1843531</v>
      </c>
      <c r="G8" s="54">
        <v>242086</v>
      </c>
      <c r="H8" s="54">
        <v>4225372</v>
      </c>
      <c r="I8" s="54">
        <v>363965</v>
      </c>
      <c r="J8" s="54">
        <v>1258594.75</v>
      </c>
      <c r="K8" s="57">
        <v>201008.5</v>
      </c>
    </row>
    <row r="9" spans="1:11" x14ac:dyDescent="0.3">
      <c r="A9" s="87" t="s">
        <v>93</v>
      </c>
      <c r="B9" s="54">
        <v>3032000</v>
      </c>
      <c r="C9" s="54">
        <v>4626817.5</v>
      </c>
      <c r="D9" s="54">
        <v>9840760.333333334</v>
      </c>
      <c r="E9" s="54">
        <v>996123</v>
      </c>
      <c r="F9" s="54">
        <v>5367632</v>
      </c>
      <c r="G9" s="54">
        <v>0</v>
      </c>
      <c r="H9" s="54">
        <v>22259456</v>
      </c>
      <c r="I9" s="54">
        <v>11165839</v>
      </c>
      <c r="J9" s="54">
        <v>8149720.5</v>
      </c>
      <c r="K9" s="57">
        <v>1276508.5</v>
      </c>
    </row>
    <row r="10" spans="1:11" x14ac:dyDescent="0.3">
      <c r="A10" s="87" t="s">
        <v>94</v>
      </c>
      <c r="B10" s="54">
        <v>0</v>
      </c>
      <c r="C10" s="54">
        <v>109621</v>
      </c>
      <c r="D10" s="54">
        <v>341490.33333333331</v>
      </c>
      <c r="E10" s="54">
        <v>155055</v>
      </c>
      <c r="F10" s="54">
        <v>0</v>
      </c>
      <c r="G10" s="54">
        <v>0</v>
      </c>
      <c r="H10" s="54">
        <v>2760576</v>
      </c>
      <c r="I10" s="54">
        <v>0</v>
      </c>
      <c r="J10" s="54">
        <v>283567.25</v>
      </c>
      <c r="K10" s="57">
        <v>0</v>
      </c>
    </row>
    <row r="11" spans="1:11" ht="15" thickBot="1" x14ac:dyDescent="0.35">
      <c r="A11" s="136" t="s">
        <v>95</v>
      </c>
      <c r="B11" s="137">
        <v>1368474.5</v>
      </c>
      <c r="C11" s="137">
        <v>130756.5</v>
      </c>
      <c r="D11" s="137">
        <v>631223.5</v>
      </c>
      <c r="E11" s="137">
        <v>261595</v>
      </c>
      <c r="F11" s="137">
        <v>1181525</v>
      </c>
      <c r="G11" s="137">
        <v>4150050</v>
      </c>
      <c r="H11" s="137">
        <v>0</v>
      </c>
      <c r="I11" s="137">
        <v>0</v>
      </c>
      <c r="J11" s="137">
        <v>8075430.75</v>
      </c>
      <c r="K11" s="138">
        <v>56189.5</v>
      </c>
    </row>
    <row r="12" spans="1:11" ht="15" thickBot="1" x14ac:dyDescent="0.35">
      <c r="A12" s="139" t="s">
        <v>139</v>
      </c>
      <c r="B12" s="140">
        <f>SUM(B4:B11)</f>
        <v>6227834</v>
      </c>
      <c r="C12" s="140">
        <f t="shared" ref="C12:K12" si="0">SUM(C4:C11)</f>
        <v>8313835</v>
      </c>
      <c r="D12" s="140">
        <f t="shared" si="0"/>
        <v>16014497.000000002</v>
      </c>
      <c r="E12" s="140">
        <f t="shared" si="0"/>
        <v>4742830</v>
      </c>
      <c r="F12" s="140">
        <f t="shared" si="0"/>
        <v>10350035</v>
      </c>
      <c r="G12" s="140">
        <f t="shared" si="0"/>
        <v>4959310</v>
      </c>
      <c r="H12" s="140">
        <f t="shared" si="0"/>
        <v>38758804</v>
      </c>
      <c r="I12" s="140">
        <f t="shared" si="0"/>
        <v>15749675</v>
      </c>
      <c r="J12" s="140">
        <f t="shared" si="0"/>
        <v>20940187.75</v>
      </c>
      <c r="K12" s="141">
        <f t="shared" si="0"/>
        <v>2026620.5</v>
      </c>
    </row>
    <row r="13" spans="1:11" x14ac:dyDescent="0.3">
      <c r="A13" s="52" t="s">
        <v>96</v>
      </c>
      <c r="B13" s="53">
        <v>468750</v>
      </c>
      <c r="C13" s="53">
        <v>2082340.5</v>
      </c>
      <c r="D13" s="53">
        <v>1480104.5</v>
      </c>
      <c r="E13" s="53">
        <v>937496</v>
      </c>
      <c r="F13" s="53">
        <v>4125799</v>
      </c>
      <c r="G13" s="53">
        <v>0</v>
      </c>
      <c r="H13" s="53">
        <v>1925215</v>
      </c>
      <c r="I13" s="53">
        <v>587456</v>
      </c>
      <c r="J13" s="53">
        <v>1228574</v>
      </c>
      <c r="K13" s="71">
        <v>294923.5</v>
      </c>
    </row>
    <row r="14" spans="1:11" x14ac:dyDescent="0.3">
      <c r="A14" s="87" t="s">
        <v>129</v>
      </c>
      <c r="B14" s="54">
        <v>35000</v>
      </c>
      <c r="C14" s="54">
        <v>287232.5</v>
      </c>
      <c r="D14" s="54">
        <v>177465.66666666666</v>
      </c>
      <c r="E14" s="54">
        <v>0</v>
      </c>
      <c r="F14" s="54">
        <v>245290</v>
      </c>
      <c r="G14" s="54">
        <v>0</v>
      </c>
      <c r="H14" s="54">
        <v>4767385</v>
      </c>
      <c r="I14" s="54">
        <v>301567</v>
      </c>
      <c r="J14" s="54">
        <v>1250663</v>
      </c>
      <c r="K14" s="57">
        <v>0</v>
      </c>
    </row>
    <row r="15" spans="1:11" ht="15" thickBot="1" x14ac:dyDescent="0.35">
      <c r="A15" s="136" t="s">
        <v>138</v>
      </c>
      <c r="B15" s="137">
        <v>265912</v>
      </c>
      <c r="C15" s="137">
        <v>246607</v>
      </c>
      <c r="D15" s="137">
        <v>237968.5</v>
      </c>
      <c r="E15" s="137">
        <v>113994</v>
      </c>
      <c r="F15" s="137">
        <v>310977</v>
      </c>
      <c r="G15" s="137">
        <v>0</v>
      </c>
      <c r="H15" s="137">
        <v>703257</v>
      </c>
      <c r="I15" s="137">
        <v>503567</v>
      </c>
      <c r="J15" s="137">
        <v>303525.5</v>
      </c>
      <c r="K15" s="138">
        <v>132175.5</v>
      </c>
    </row>
    <row r="16" spans="1:11" ht="15" thickBot="1" x14ac:dyDescent="0.35">
      <c r="A16" s="139" t="s">
        <v>140</v>
      </c>
      <c r="B16" s="140">
        <f>SUM(B13:B15)</f>
        <v>769662</v>
      </c>
      <c r="C16" s="140">
        <f t="shared" ref="C16:K16" si="1">SUM(C13:C15)</f>
        <v>2616180</v>
      </c>
      <c r="D16" s="140">
        <f t="shared" si="1"/>
        <v>1895538.6666666667</v>
      </c>
      <c r="E16" s="140">
        <f t="shared" si="1"/>
        <v>1051490</v>
      </c>
      <c r="F16" s="140">
        <f t="shared" si="1"/>
        <v>4682066</v>
      </c>
      <c r="G16" s="140">
        <f t="shared" si="1"/>
        <v>0</v>
      </c>
      <c r="H16" s="140">
        <f t="shared" si="1"/>
        <v>7395857</v>
      </c>
      <c r="I16" s="140">
        <f t="shared" si="1"/>
        <v>1392590</v>
      </c>
      <c r="J16" s="140">
        <f t="shared" si="1"/>
        <v>2782762.5</v>
      </c>
      <c r="K16" s="141">
        <f t="shared" si="1"/>
        <v>427099</v>
      </c>
    </row>
    <row r="17" spans="1:11" ht="15" thickBot="1" x14ac:dyDescent="0.35">
      <c r="A17" s="142" t="s">
        <v>86</v>
      </c>
      <c r="B17" s="143">
        <f>+B12+B16</f>
        <v>6997496</v>
      </c>
      <c r="C17" s="143">
        <f t="shared" ref="C17:K17" si="2">+C12+C16</f>
        <v>10930015</v>
      </c>
      <c r="D17" s="143">
        <f t="shared" si="2"/>
        <v>17910035.666666668</v>
      </c>
      <c r="E17" s="143">
        <f t="shared" si="2"/>
        <v>5794320</v>
      </c>
      <c r="F17" s="143">
        <f t="shared" si="2"/>
        <v>15032101</v>
      </c>
      <c r="G17" s="143">
        <f t="shared" si="2"/>
        <v>4959310</v>
      </c>
      <c r="H17" s="143">
        <f t="shared" si="2"/>
        <v>46154661</v>
      </c>
      <c r="I17" s="143">
        <f t="shared" si="2"/>
        <v>17142265</v>
      </c>
      <c r="J17" s="143">
        <f t="shared" si="2"/>
        <v>23722950.25</v>
      </c>
      <c r="K17" s="144">
        <f t="shared" si="2"/>
        <v>2453719.5</v>
      </c>
    </row>
    <row r="18" spans="1:11" x14ac:dyDescent="0.3">
      <c r="A18" s="52" t="s">
        <v>1</v>
      </c>
      <c r="B18" s="53">
        <v>839</v>
      </c>
      <c r="C18" s="53">
        <v>553</v>
      </c>
      <c r="D18" s="53">
        <v>5077</v>
      </c>
      <c r="E18" s="53">
        <v>580</v>
      </c>
      <c r="F18" s="53">
        <v>456</v>
      </c>
      <c r="G18" s="53">
        <v>1383</v>
      </c>
      <c r="H18" s="53">
        <v>36338</v>
      </c>
      <c r="I18" s="53">
        <v>0</v>
      </c>
      <c r="J18" s="53">
        <v>13928</v>
      </c>
      <c r="K18" s="71">
        <v>1867</v>
      </c>
    </row>
    <row r="19" spans="1:11" x14ac:dyDescent="0.3">
      <c r="A19" s="87" t="s">
        <v>2</v>
      </c>
      <c r="B19" s="54">
        <v>981</v>
      </c>
      <c r="C19" s="54">
        <v>569</v>
      </c>
      <c r="D19" s="54">
        <v>3725</v>
      </c>
      <c r="E19" s="54">
        <v>540</v>
      </c>
      <c r="F19" s="54">
        <v>326</v>
      </c>
      <c r="G19" s="54">
        <v>384</v>
      </c>
      <c r="H19" s="54">
        <v>1445</v>
      </c>
      <c r="I19" s="54">
        <v>0</v>
      </c>
      <c r="J19" s="54">
        <v>6142</v>
      </c>
      <c r="K19" s="57">
        <v>1488</v>
      </c>
    </row>
    <row r="20" spans="1:11" ht="15" thickBot="1" x14ac:dyDescent="0.35">
      <c r="A20" s="101" t="s">
        <v>85</v>
      </c>
      <c r="B20" s="102">
        <v>4</v>
      </c>
      <c r="C20" s="102">
        <v>4</v>
      </c>
      <c r="D20" s="102">
        <v>12</v>
      </c>
      <c r="E20" s="102">
        <v>2</v>
      </c>
      <c r="F20" s="102">
        <v>1</v>
      </c>
      <c r="G20" s="102">
        <v>4</v>
      </c>
      <c r="H20" s="102">
        <v>14</v>
      </c>
      <c r="I20" s="102">
        <v>0</v>
      </c>
      <c r="J20" s="102">
        <v>14</v>
      </c>
      <c r="K20" s="104">
        <v>4</v>
      </c>
    </row>
    <row r="21" spans="1:11" ht="15" thickBot="1" x14ac:dyDescent="0.35"/>
    <row r="22" spans="1:11" ht="15" thickBot="1" x14ac:dyDescent="0.35">
      <c r="A22" s="186" t="s">
        <v>118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 x14ac:dyDescent="0.3">
      <c r="A23" s="52" t="s">
        <v>87</v>
      </c>
      <c r="B23" s="134">
        <f>+B4/B$17</f>
        <v>6.2779600016920345E-2</v>
      </c>
      <c r="C23" s="134">
        <f t="shared" ref="C23:K23" si="3">+C4/C$17</f>
        <v>0.13696884222025313</v>
      </c>
      <c r="D23" s="134">
        <f t="shared" si="3"/>
        <v>0.10363428086975519</v>
      </c>
      <c r="E23" s="134">
        <f t="shared" si="3"/>
        <v>0.27246424084275633</v>
      </c>
      <c r="F23" s="134">
        <f t="shared" si="3"/>
        <v>6.6618565162647594E-2</v>
      </c>
      <c r="G23" s="134">
        <f t="shared" si="3"/>
        <v>0.11436550649183051</v>
      </c>
      <c r="H23" s="134">
        <f t="shared" si="3"/>
        <v>6.1200427839779824E-2</v>
      </c>
      <c r="I23" s="134">
        <f t="shared" si="3"/>
        <v>5.3960197208478576E-2</v>
      </c>
      <c r="J23" s="134">
        <f t="shared" si="3"/>
        <v>5.1786887256992833E-2</v>
      </c>
      <c r="K23" s="134">
        <f t="shared" si="3"/>
        <v>8.8066912293764635E-2</v>
      </c>
    </row>
    <row r="24" spans="1:11" x14ac:dyDescent="0.3">
      <c r="A24" s="87" t="s">
        <v>88</v>
      </c>
      <c r="B24" s="85">
        <f t="shared" ref="B24:K31" si="4">+B5/B$17</f>
        <v>2.713827917872336E-2</v>
      </c>
      <c r="C24" s="85">
        <f t="shared" si="4"/>
        <v>0</v>
      </c>
      <c r="D24" s="85">
        <f t="shared" si="4"/>
        <v>0</v>
      </c>
      <c r="E24" s="85">
        <f t="shared" si="4"/>
        <v>0</v>
      </c>
      <c r="F24" s="85">
        <f t="shared" si="4"/>
        <v>0</v>
      </c>
      <c r="G24" s="85">
        <f t="shared" si="4"/>
        <v>0</v>
      </c>
      <c r="H24" s="85">
        <f t="shared" si="4"/>
        <v>0</v>
      </c>
      <c r="I24" s="85">
        <f t="shared" si="4"/>
        <v>0</v>
      </c>
      <c r="J24" s="85">
        <f t="shared" si="4"/>
        <v>5.8508743026175678E-5</v>
      </c>
      <c r="K24" s="85">
        <f t="shared" si="4"/>
        <v>2.5251460079279642E-2</v>
      </c>
    </row>
    <row r="25" spans="1:11" x14ac:dyDescent="0.3">
      <c r="A25" s="87" t="s">
        <v>89</v>
      </c>
      <c r="B25" s="85">
        <f t="shared" si="4"/>
        <v>4.8182878561131008E-2</v>
      </c>
      <c r="C25" s="85">
        <f t="shared" si="4"/>
        <v>2.4727733676486261E-2</v>
      </c>
      <c r="D25" s="85">
        <f t="shared" si="4"/>
        <v>2.1318317865996431E-2</v>
      </c>
      <c r="E25" s="85">
        <f t="shared" si="4"/>
        <v>3.2728948349418051E-2</v>
      </c>
      <c r="F25" s="85">
        <f t="shared" si="4"/>
        <v>3.2409774255774362E-2</v>
      </c>
      <c r="G25" s="85">
        <f t="shared" si="4"/>
        <v>0</v>
      </c>
      <c r="H25" s="85">
        <f t="shared" si="4"/>
        <v>3.4514607311274584E-3</v>
      </c>
      <c r="I25" s="85">
        <f t="shared" si="4"/>
        <v>7.6021342570541287E-2</v>
      </c>
      <c r="J25" s="85">
        <f t="shared" si="4"/>
        <v>1.6309944417642573E-3</v>
      </c>
      <c r="K25" s="85">
        <f t="shared" si="4"/>
        <v>1.7583713215793412E-2</v>
      </c>
    </row>
    <row r="26" spans="1:11" x14ac:dyDescent="0.3">
      <c r="A26" s="87" t="s">
        <v>90</v>
      </c>
      <c r="B26" s="85">
        <f t="shared" si="4"/>
        <v>2.7974292518352279E-2</v>
      </c>
      <c r="C26" s="85">
        <f t="shared" si="4"/>
        <v>0.12046685205830002</v>
      </c>
      <c r="D26" s="85">
        <f t="shared" si="4"/>
        <v>9.3390852543807509E-2</v>
      </c>
      <c r="E26" s="85">
        <f t="shared" si="4"/>
        <v>0.17567341810600726</v>
      </c>
      <c r="F26" s="85">
        <f t="shared" si="4"/>
        <v>3.1182800062346572E-2</v>
      </c>
      <c r="G26" s="85">
        <f t="shared" si="4"/>
        <v>0</v>
      </c>
      <c r="H26" s="85">
        <f t="shared" si="4"/>
        <v>0.1414681390466718</v>
      </c>
      <c r="I26" s="85">
        <f t="shared" si="4"/>
        <v>0.1161861049283744</v>
      </c>
      <c r="J26" s="85">
        <f t="shared" si="4"/>
        <v>8.0270654785021947E-2</v>
      </c>
      <c r="K26" s="85">
        <f t="shared" si="4"/>
        <v>6.9982326830756322E-2</v>
      </c>
    </row>
    <row r="27" spans="1:11" x14ac:dyDescent="0.3">
      <c r="A27" s="87" t="s">
        <v>91</v>
      </c>
      <c r="B27" s="85">
        <f t="shared" si="4"/>
        <v>9.5069722083442415E-2</v>
      </c>
      <c r="C27" s="85">
        <f t="shared" si="4"/>
        <v>3.3173742213528527E-2</v>
      </c>
      <c r="D27" s="85">
        <f t="shared" si="4"/>
        <v>7.2053671882693252E-2</v>
      </c>
      <c r="E27" s="85">
        <f t="shared" si="4"/>
        <v>9.3843971337447707E-2</v>
      </c>
      <c r="F27" s="85">
        <f t="shared" si="4"/>
        <v>0.1226396097258793</v>
      </c>
      <c r="G27" s="85">
        <f t="shared" si="4"/>
        <v>4.8814452010461133E-2</v>
      </c>
      <c r="H27" s="85">
        <f t="shared" si="4"/>
        <v>9.1548110384777823E-2</v>
      </c>
      <c r="I27" s="85">
        <f t="shared" si="4"/>
        <v>2.1232025056198815E-2</v>
      </c>
      <c r="J27" s="85">
        <f t="shared" si="4"/>
        <v>5.3053888185766437E-2</v>
      </c>
      <c r="K27" s="85">
        <f t="shared" si="4"/>
        <v>8.1919917904226619E-2</v>
      </c>
    </row>
    <row r="28" spans="1:11" x14ac:dyDescent="0.3">
      <c r="A28" s="87" t="s">
        <v>92</v>
      </c>
      <c r="B28" s="85">
        <f t="shared" si="4"/>
        <v>0.43329785397519344</v>
      </c>
      <c r="C28" s="85">
        <f t="shared" si="4"/>
        <v>0.42331300551737577</v>
      </c>
      <c r="D28" s="85">
        <f t="shared" si="4"/>
        <v>0.54945509414302862</v>
      </c>
      <c r="E28" s="85">
        <f t="shared" si="4"/>
        <v>0.17191370169407283</v>
      </c>
      <c r="F28" s="85">
        <f t="shared" si="4"/>
        <v>0.35707796268798353</v>
      </c>
      <c r="G28" s="85">
        <f t="shared" si="4"/>
        <v>0</v>
      </c>
      <c r="H28" s="85">
        <f t="shared" si="4"/>
        <v>0.48227969868525306</v>
      </c>
      <c r="I28" s="85">
        <f t="shared" si="4"/>
        <v>0.65136310750067161</v>
      </c>
      <c r="J28" s="85">
        <f t="shared" si="4"/>
        <v>0.34353739371012676</v>
      </c>
      <c r="K28" s="85">
        <f t="shared" si="4"/>
        <v>0.52023407728552507</v>
      </c>
    </row>
    <row r="29" spans="1:11" x14ac:dyDescent="0.3">
      <c r="A29" s="87" t="s">
        <v>126</v>
      </c>
      <c r="B29" s="85">
        <f t="shared" si="4"/>
        <v>0</v>
      </c>
      <c r="C29" s="85">
        <f t="shared" si="4"/>
        <v>1.0029354945990467E-2</v>
      </c>
      <c r="D29" s="85">
        <f t="shared" si="4"/>
        <v>1.9066982315892277E-2</v>
      </c>
      <c r="E29" s="85">
        <f t="shared" si="4"/>
        <v>2.6759826864929795E-2</v>
      </c>
      <c r="F29" s="85">
        <f t="shared" si="4"/>
        <v>0</v>
      </c>
      <c r="G29" s="85">
        <f t="shared" si="4"/>
        <v>0</v>
      </c>
      <c r="H29" s="85">
        <f t="shared" si="4"/>
        <v>5.9811424029308766E-2</v>
      </c>
      <c r="I29" s="85">
        <f t="shared" si="4"/>
        <v>0</v>
      </c>
      <c r="J29" s="85">
        <f t="shared" si="4"/>
        <v>1.1953287723983656E-2</v>
      </c>
      <c r="K29" s="85">
        <f t="shared" si="4"/>
        <v>0</v>
      </c>
    </row>
    <row r="30" spans="1:11" x14ac:dyDescent="0.3">
      <c r="A30" s="87" t="s">
        <v>94</v>
      </c>
      <c r="B30" s="85">
        <f t="shared" si="4"/>
        <v>0.195566314007182</v>
      </c>
      <c r="C30" s="85">
        <f t="shared" si="4"/>
        <v>1.1963066839341025E-2</v>
      </c>
      <c r="D30" s="85">
        <f t="shared" si="4"/>
        <v>3.524412300165343E-2</v>
      </c>
      <c r="E30" s="85">
        <f t="shared" si="4"/>
        <v>4.5146798934128596E-2</v>
      </c>
      <c r="F30" s="85">
        <f t="shared" si="4"/>
        <v>7.8600123828332452E-2</v>
      </c>
      <c r="G30" s="85">
        <f t="shared" si="4"/>
        <v>0.83682004149770839</v>
      </c>
      <c r="H30" s="85">
        <f t="shared" si="4"/>
        <v>0</v>
      </c>
      <c r="I30" s="85">
        <f t="shared" si="4"/>
        <v>0</v>
      </c>
      <c r="J30" s="85">
        <f t="shared" si="4"/>
        <v>0.34040583759180626</v>
      </c>
      <c r="K30" s="85">
        <f t="shared" si="4"/>
        <v>2.2899724275737304E-2</v>
      </c>
    </row>
    <row r="31" spans="1:11" ht="15" thickBot="1" x14ac:dyDescent="0.35">
      <c r="A31" s="87" t="s">
        <v>95</v>
      </c>
      <c r="B31" s="85">
        <f t="shared" si="4"/>
        <v>0.8900089403409448</v>
      </c>
      <c r="C31" s="85">
        <f t="shared" si="4"/>
        <v>0.76064259747127516</v>
      </c>
      <c r="D31" s="85">
        <f t="shared" si="4"/>
        <v>0.89416332262282672</v>
      </c>
      <c r="E31" s="85">
        <f t="shared" si="4"/>
        <v>0.81853090612876056</v>
      </c>
      <c r="F31" s="85">
        <f t="shared" si="4"/>
        <v>0.68852883572296386</v>
      </c>
      <c r="G31" s="85">
        <f t="shared" si="4"/>
        <v>1</v>
      </c>
      <c r="H31" s="85">
        <f t="shared" si="4"/>
        <v>0.83975926071691875</v>
      </c>
      <c r="I31" s="85">
        <f t="shared" si="4"/>
        <v>0.9187627772642647</v>
      </c>
      <c r="J31" s="85">
        <f t="shared" si="4"/>
        <v>0.88269745243848829</v>
      </c>
      <c r="K31" s="85">
        <f t="shared" si="4"/>
        <v>0.82593813188508303</v>
      </c>
    </row>
    <row r="32" spans="1:11" ht="15" thickBot="1" x14ac:dyDescent="0.35">
      <c r="A32" s="145" t="s">
        <v>107</v>
      </c>
      <c r="B32" s="146">
        <f>+B12/B$17</f>
        <v>0.8900089403409448</v>
      </c>
      <c r="C32" s="146">
        <f t="shared" ref="C32:K33" si="5">+C12/C$17</f>
        <v>0.76064259747127516</v>
      </c>
      <c r="D32" s="146">
        <f t="shared" si="5"/>
        <v>0.89416332262282672</v>
      </c>
      <c r="E32" s="146">
        <f t="shared" si="5"/>
        <v>0.81853090612876056</v>
      </c>
      <c r="F32" s="146">
        <f t="shared" si="5"/>
        <v>0.68852883572296386</v>
      </c>
      <c r="G32" s="146">
        <f t="shared" si="5"/>
        <v>1</v>
      </c>
      <c r="H32" s="146">
        <f t="shared" si="5"/>
        <v>0.83975926071691875</v>
      </c>
      <c r="I32" s="146">
        <f t="shared" si="5"/>
        <v>0.9187627772642647</v>
      </c>
      <c r="J32" s="146">
        <f t="shared" si="5"/>
        <v>0.88269745243848829</v>
      </c>
      <c r="K32" s="146">
        <f t="shared" si="5"/>
        <v>0.82593813188508303</v>
      </c>
    </row>
    <row r="33" spans="1:11" x14ac:dyDescent="0.3">
      <c r="A33" s="87" t="s">
        <v>96</v>
      </c>
      <c r="B33" s="85">
        <f>+B13/B$17</f>
        <v>6.6988248367701814E-2</v>
      </c>
      <c r="C33" s="85">
        <f t="shared" si="5"/>
        <v>0.19051579526652068</v>
      </c>
      <c r="D33" s="85">
        <f t="shared" si="5"/>
        <v>8.2641069372893672E-2</v>
      </c>
      <c r="E33" s="85">
        <f t="shared" si="5"/>
        <v>0.16179568957185658</v>
      </c>
      <c r="F33" s="85">
        <f t="shared" si="5"/>
        <v>0.27446589136142713</v>
      </c>
      <c r="G33" s="85">
        <f t="shared" si="5"/>
        <v>0</v>
      </c>
      <c r="H33" s="85">
        <f t="shared" si="5"/>
        <v>4.1712255236800458E-2</v>
      </c>
      <c r="I33" s="85">
        <f t="shared" si="5"/>
        <v>3.4269450390598907E-2</v>
      </c>
      <c r="J33" s="85">
        <f t="shared" si="5"/>
        <v>5.1788415313141753E-2</v>
      </c>
      <c r="K33" s="85">
        <f t="shared" si="5"/>
        <v>0.1201944639556396</v>
      </c>
    </row>
    <row r="34" spans="1:11" x14ac:dyDescent="0.3">
      <c r="A34" s="87" t="s">
        <v>97</v>
      </c>
      <c r="B34" s="85">
        <f t="shared" ref="B34:K37" si="6">+B14/B$17</f>
        <v>5.0017892114550691E-3</v>
      </c>
      <c r="C34" s="85">
        <f t="shared" si="6"/>
        <v>2.6279241153831904E-2</v>
      </c>
      <c r="D34" s="85">
        <f t="shared" si="6"/>
        <v>9.9087277082846661E-3</v>
      </c>
      <c r="E34" s="85">
        <f t="shared" si="6"/>
        <v>0</v>
      </c>
      <c r="F34" s="85">
        <f t="shared" si="6"/>
        <v>1.6317745603226057E-2</v>
      </c>
      <c r="G34" s="85">
        <f t="shared" si="6"/>
        <v>0</v>
      </c>
      <c r="H34" s="85">
        <f t="shared" si="6"/>
        <v>0.1032915180549154</v>
      </c>
      <c r="I34" s="85">
        <f t="shared" si="6"/>
        <v>1.7592015990885685E-2</v>
      </c>
      <c r="J34" s="85">
        <f t="shared" si="6"/>
        <v>5.2719538962064806E-2</v>
      </c>
      <c r="K34" s="85">
        <f t="shared" si="6"/>
        <v>0</v>
      </c>
    </row>
    <row r="35" spans="1:11" ht="15" thickBot="1" x14ac:dyDescent="0.35">
      <c r="A35" s="87" t="s">
        <v>98</v>
      </c>
      <c r="B35" s="85">
        <f t="shared" si="6"/>
        <v>3.8001022079898292E-2</v>
      </c>
      <c r="C35" s="85">
        <f t="shared" si="6"/>
        <v>2.2562366108372221E-2</v>
      </c>
      <c r="D35" s="85">
        <f t="shared" si="6"/>
        <v>1.3286880295994943E-2</v>
      </c>
      <c r="E35" s="85">
        <f t="shared" si="6"/>
        <v>1.9673404299382843E-2</v>
      </c>
      <c r="F35" s="85">
        <f t="shared" si="6"/>
        <v>2.0687527312383013E-2</v>
      </c>
      <c r="G35" s="85">
        <f t="shared" si="6"/>
        <v>0</v>
      </c>
      <c r="H35" s="85">
        <f t="shared" si="6"/>
        <v>1.5236965991365422E-2</v>
      </c>
      <c r="I35" s="85">
        <f t="shared" si="6"/>
        <v>2.9375756354250736E-2</v>
      </c>
      <c r="J35" s="85">
        <f t="shared" si="6"/>
        <v>1.2794593286305105E-2</v>
      </c>
      <c r="K35" s="85">
        <f t="shared" si="6"/>
        <v>5.3867404159277377E-2</v>
      </c>
    </row>
    <row r="36" spans="1:11" ht="15" thickBot="1" x14ac:dyDescent="0.35">
      <c r="A36" s="147" t="s">
        <v>111</v>
      </c>
      <c r="B36" s="148">
        <f>+B16/B$17</f>
        <v>0.10999105965905519</v>
      </c>
      <c r="C36" s="148">
        <f t="shared" si="6"/>
        <v>0.23935740252872481</v>
      </c>
      <c r="D36" s="148">
        <f t="shared" si="6"/>
        <v>0.10583667737717328</v>
      </c>
      <c r="E36" s="148">
        <f t="shared" si="6"/>
        <v>0.18146909387123941</v>
      </c>
      <c r="F36" s="148">
        <f t="shared" si="6"/>
        <v>0.31147116427703619</v>
      </c>
      <c r="G36" s="148">
        <f t="shared" si="6"/>
        <v>0</v>
      </c>
      <c r="H36" s="148">
        <f t="shared" si="6"/>
        <v>0.1602407392830813</v>
      </c>
      <c r="I36" s="148">
        <f t="shared" si="6"/>
        <v>8.1237222735735332E-2</v>
      </c>
      <c r="J36" s="148">
        <f t="shared" si="6"/>
        <v>0.11730254756151166</v>
      </c>
      <c r="K36" s="148">
        <f t="shared" si="6"/>
        <v>0.17406186811491697</v>
      </c>
    </row>
    <row r="37" spans="1:11" ht="15" thickBot="1" x14ac:dyDescent="0.35">
      <c r="A37" s="149" t="s">
        <v>86</v>
      </c>
      <c r="B37" s="150">
        <f>+B17/B$17</f>
        <v>1</v>
      </c>
      <c r="C37" s="150">
        <f t="shared" si="6"/>
        <v>1</v>
      </c>
      <c r="D37" s="150">
        <f t="shared" si="6"/>
        <v>1</v>
      </c>
      <c r="E37" s="150">
        <f t="shared" si="6"/>
        <v>1</v>
      </c>
      <c r="F37" s="150">
        <f t="shared" si="6"/>
        <v>1</v>
      </c>
      <c r="G37" s="150">
        <f t="shared" si="6"/>
        <v>1</v>
      </c>
      <c r="H37" s="150">
        <f t="shared" si="6"/>
        <v>1</v>
      </c>
      <c r="I37" s="150">
        <f t="shared" si="6"/>
        <v>1</v>
      </c>
      <c r="J37" s="150">
        <f t="shared" si="6"/>
        <v>1</v>
      </c>
      <c r="K37" s="150">
        <f t="shared" si="6"/>
        <v>1</v>
      </c>
    </row>
    <row r="38" spans="1:11" x14ac:dyDescent="0.3">
      <c r="A38" s="28" t="s">
        <v>147</v>
      </c>
      <c r="B38" s="28"/>
      <c r="C38" s="28"/>
      <c r="D38" s="28"/>
      <c r="E38" s="28"/>
      <c r="F38" s="28"/>
      <c r="G38" s="28"/>
      <c r="H38" s="28"/>
    </row>
    <row r="39" spans="1:11" x14ac:dyDescent="0.3">
      <c r="A39" s="28" t="s">
        <v>122</v>
      </c>
      <c r="B39" s="28"/>
      <c r="C39" s="28"/>
      <c r="D39" s="28"/>
      <c r="E39" s="28"/>
      <c r="F39" s="28"/>
      <c r="G39" s="28"/>
      <c r="H39" s="28"/>
    </row>
    <row r="40" spans="1:11" x14ac:dyDescent="0.3">
      <c r="A40" s="28" t="s">
        <v>123</v>
      </c>
      <c r="B40" s="28"/>
      <c r="C40" s="28"/>
      <c r="D40" s="28"/>
      <c r="E40" s="28"/>
      <c r="F40" s="28"/>
      <c r="G40" s="28"/>
      <c r="H40" s="28"/>
    </row>
    <row r="41" spans="1:11" x14ac:dyDescent="0.3">
      <c r="A41" s="95">
        <v>41008</v>
      </c>
      <c r="B41" s="28"/>
      <c r="C41" s="28"/>
      <c r="D41" s="28"/>
      <c r="E41" s="28"/>
      <c r="F41" s="28"/>
      <c r="G41" s="28"/>
      <c r="H41" s="28"/>
    </row>
  </sheetData>
  <mergeCells count="2">
    <mergeCell ref="A1:K1"/>
    <mergeCell ref="A22:K22"/>
  </mergeCells>
  <hyperlinks>
    <hyperlink ref="A1:K1" location="CONTENIDO!A1" display="EMPRESAS DE TRANSPORTE AÉREO  CARGA  - COSTOS DE OPERACIÓN POR TIPO DE AERONAVE -    II SEMESTRE DE 201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workbookViewId="0">
      <selection activeCell="I35" sqref="I35"/>
    </sheetView>
  </sheetViews>
  <sheetFormatPr baseColWidth="10" defaultRowHeight="14.4" x14ac:dyDescent="0.3"/>
  <cols>
    <col min="1" max="1" width="24.6328125" style="96" customWidth="1"/>
    <col min="2" max="3" width="10.6328125" style="96" customWidth="1"/>
    <col min="4" max="4" width="10.54296875" style="96" customWidth="1"/>
    <col min="5" max="5" width="10.1796875" style="96" customWidth="1"/>
    <col min="6" max="6" width="10.26953125" style="96" customWidth="1"/>
    <col min="7" max="7" width="11.26953125" style="96" customWidth="1"/>
    <col min="8" max="8" width="13" style="96" customWidth="1"/>
    <col min="9" max="16384" width="10.90625" style="28"/>
  </cols>
  <sheetData>
    <row r="1" spans="1:8" x14ac:dyDescent="0.3">
      <c r="A1" s="189" t="s">
        <v>142</v>
      </c>
      <c r="B1" s="190"/>
      <c r="C1" s="190"/>
      <c r="D1" s="190"/>
      <c r="E1" s="190"/>
      <c r="F1" s="190"/>
      <c r="G1" s="190"/>
      <c r="H1" s="191"/>
    </row>
    <row r="2" spans="1:8" ht="15" thickBot="1" x14ac:dyDescent="0.35">
      <c r="A2" s="192" t="s">
        <v>141</v>
      </c>
      <c r="B2" s="193"/>
      <c r="C2" s="193"/>
      <c r="D2" s="193"/>
      <c r="E2" s="193"/>
      <c r="F2" s="193"/>
      <c r="G2" s="193"/>
      <c r="H2" s="194"/>
    </row>
    <row r="3" spans="1:8" ht="15" thickBot="1" x14ac:dyDescent="0.35"/>
    <row r="4" spans="1:8" ht="15" thickBot="1" x14ac:dyDescent="0.35">
      <c r="A4" s="45" t="s">
        <v>0</v>
      </c>
      <c r="B4" s="45" t="s">
        <v>36</v>
      </c>
      <c r="C4" s="45" t="s">
        <v>76</v>
      </c>
      <c r="D4" s="45" t="s">
        <v>77</v>
      </c>
      <c r="E4" s="45" t="s">
        <v>43</v>
      </c>
      <c r="F4" s="45" t="s">
        <v>81</v>
      </c>
      <c r="G4" s="45" t="s">
        <v>78</v>
      </c>
      <c r="H4" s="45" t="s">
        <v>54</v>
      </c>
    </row>
    <row r="5" spans="1:8" x14ac:dyDescent="0.3">
      <c r="A5" s="48" t="s">
        <v>130</v>
      </c>
      <c r="B5" s="49">
        <v>1956832.5</v>
      </c>
      <c r="C5" s="49">
        <v>332750</v>
      </c>
      <c r="D5" s="49">
        <v>332750</v>
      </c>
      <c r="E5" s="49">
        <v>57348</v>
      </c>
      <c r="F5" s="49">
        <v>240984</v>
      </c>
      <c r="G5" s="49">
        <v>4712375.5</v>
      </c>
      <c r="H5" s="50">
        <v>264268</v>
      </c>
    </row>
    <row r="6" spans="1:8" x14ac:dyDescent="0.3">
      <c r="A6" s="87" t="s">
        <v>88</v>
      </c>
      <c r="B6" s="54">
        <v>184125</v>
      </c>
      <c r="C6" s="54">
        <v>0</v>
      </c>
      <c r="D6" s="54">
        <v>0</v>
      </c>
      <c r="E6" s="54">
        <v>0</v>
      </c>
      <c r="F6" s="54">
        <v>114644</v>
      </c>
      <c r="G6" s="54">
        <v>768180</v>
      </c>
      <c r="H6" s="57">
        <v>235013</v>
      </c>
    </row>
    <row r="7" spans="1:8" x14ac:dyDescent="0.3">
      <c r="A7" s="87" t="s">
        <v>133</v>
      </c>
      <c r="B7" s="54">
        <v>386631.5</v>
      </c>
      <c r="C7" s="54">
        <v>41201</v>
      </c>
      <c r="D7" s="54">
        <v>41201</v>
      </c>
      <c r="E7" s="54">
        <v>22051</v>
      </c>
      <c r="F7" s="54">
        <v>40944</v>
      </c>
      <c r="G7" s="54">
        <v>1064399.5</v>
      </c>
      <c r="H7" s="57">
        <v>36199</v>
      </c>
    </row>
    <row r="8" spans="1:8" x14ac:dyDescent="0.3">
      <c r="A8" s="87" t="s">
        <v>90</v>
      </c>
      <c r="B8" s="54">
        <v>108358</v>
      </c>
      <c r="C8" s="54">
        <v>39852</v>
      </c>
      <c r="D8" s="54">
        <v>39852</v>
      </c>
      <c r="E8" s="54">
        <v>0</v>
      </c>
      <c r="F8" s="54">
        <v>60549</v>
      </c>
      <c r="G8" s="54">
        <v>278186</v>
      </c>
      <c r="H8" s="57">
        <v>33862</v>
      </c>
    </row>
    <row r="9" spans="1:8" x14ac:dyDescent="0.3">
      <c r="A9" s="87" t="s">
        <v>91</v>
      </c>
      <c r="B9" s="54">
        <v>586613.5</v>
      </c>
      <c r="C9" s="54">
        <v>334435</v>
      </c>
      <c r="D9" s="54">
        <v>334435</v>
      </c>
      <c r="E9" s="54">
        <v>0</v>
      </c>
      <c r="F9" s="54">
        <v>421835</v>
      </c>
      <c r="G9" s="54">
        <v>993195</v>
      </c>
      <c r="H9" s="57">
        <v>275506</v>
      </c>
    </row>
    <row r="10" spans="1:8" x14ac:dyDescent="0.3">
      <c r="A10" s="87" t="s">
        <v>92</v>
      </c>
      <c r="B10" s="54">
        <v>237303.5</v>
      </c>
      <c r="C10" s="54">
        <v>69123</v>
      </c>
      <c r="D10" s="54">
        <v>69123</v>
      </c>
      <c r="E10" s="54">
        <v>0</v>
      </c>
      <c r="F10" s="54">
        <v>6566</v>
      </c>
      <c r="G10" s="54">
        <v>449014.5</v>
      </c>
      <c r="H10" s="57">
        <v>48317</v>
      </c>
    </row>
    <row r="11" spans="1:8" x14ac:dyDescent="0.3">
      <c r="A11" s="87" t="s">
        <v>93</v>
      </c>
      <c r="B11" s="54">
        <v>2518217.5</v>
      </c>
      <c r="C11" s="54">
        <v>525956</v>
      </c>
      <c r="D11" s="54">
        <v>1062431</v>
      </c>
      <c r="E11" s="54">
        <v>500238</v>
      </c>
      <c r="F11" s="54">
        <v>418869</v>
      </c>
      <c r="G11" s="54">
        <v>4264023.5</v>
      </c>
      <c r="H11" s="57">
        <v>545872</v>
      </c>
    </row>
    <row r="12" spans="1:8" x14ac:dyDescent="0.3">
      <c r="A12" s="87" t="s">
        <v>134</v>
      </c>
      <c r="B12" s="54">
        <v>0</v>
      </c>
      <c r="C12" s="54">
        <v>0</v>
      </c>
      <c r="D12" s="54">
        <v>0</v>
      </c>
      <c r="E12" s="54">
        <v>0</v>
      </c>
      <c r="F12" s="54">
        <v>3426</v>
      </c>
      <c r="G12" s="54">
        <v>0</v>
      </c>
      <c r="H12" s="57">
        <v>0</v>
      </c>
    </row>
    <row r="13" spans="1:8" ht="15" thickBot="1" x14ac:dyDescent="0.35">
      <c r="A13" s="136" t="s">
        <v>95</v>
      </c>
      <c r="B13" s="137">
        <v>1818475.5</v>
      </c>
      <c r="C13" s="137">
        <v>1092264</v>
      </c>
      <c r="D13" s="137">
        <v>0</v>
      </c>
      <c r="E13" s="137">
        <v>0</v>
      </c>
      <c r="F13" s="137">
        <v>64845</v>
      </c>
      <c r="G13" s="137">
        <v>1710680</v>
      </c>
      <c r="H13" s="138">
        <v>0</v>
      </c>
    </row>
    <row r="14" spans="1:8" ht="15" thickBot="1" x14ac:dyDescent="0.35">
      <c r="A14" s="139" t="s">
        <v>139</v>
      </c>
      <c r="B14" s="140">
        <f>SUM(B5:B13)</f>
        <v>7796557</v>
      </c>
      <c r="C14" s="140">
        <f t="shared" ref="C14:H14" si="0">SUM(C5:C13)</f>
        <v>2435581</v>
      </c>
      <c r="D14" s="140">
        <f t="shared" si="0"/>
        <v>1879792</v>
      </c>
      <c r="E14" s="140">
        <f t="shared" si="0"/>
        <v>579637</v>
      </c>
      <c r="F14" s="140">
        <f t="shared" si="0"/>
        <v>1372662</v>
      </c>
      <c r="G14" s="140">
        <f t="shared" si="0"/>
        <v>14240054</v>
      </c>
      <c r="H14" s="141">
        <f t="shared" si="0"/>
        <v>1439037</v>
      </c>
    </row>
    <row r="15" spans="1:8" x14ac:dyDescent="0.3">
      <c r="A15" s="52" t="s">
        <v>96</v>
      </c>
      <c r="B15" s="53">
        <v>777406.5</v>
      </c>
      <c r="C15" s="53">
        <v>159992</v>
      </c>
      <c r="D15" s="53">
        <v>159992</v>
      </c>
      <c r="E15" s="53">
        <v>0</v>
      </c>
      <c r="F15" s="53">
        <v>0</v>
      </c>
      <c r="G15" s="53">
        <v>1233660</v>
      </c>
      <c r="H15" s="71">
        <v>3083491</v>
      </c>
    </row>
    <row r="16" spans="1:8" x14ac:dyDescent="0.3">
      <c r="A16" s="87" t="s">
        <v>129</v>
      </c>
      <c r="B16" s="54">
        <v>131206.5</v>
      </c>
      <c r="C16" s="54">
        <v>0</v>
      </c>
      <c r="D16" s="54">
        <v>0</v>
      </c>
      <c r="E16" s="54">
        <v>331431</v>
      </c>
      <c r="F16" s="54">
        <v>829859</v>
      </c>
      <c r="G16" s="54">
        <v>217043.5</v>
      </c>
      <c r="H16" s="57">
        <v>580109</v>
      </c>
    </row>
    <row r="17" spans="1:8" ht="15" thickBot="1" x14ac:dyDescent="0.35">
      <c r="A17" s="136" t="s">
        <v>98</v>
      </c>
      <c r="B17" s="137">
        <v>288843</v>
      </c>
      <c r="C17" s="137">
        <v>245616</v>
      </c>
      <c r="D17" s="137">
        <v>245616</v>
      </c>
      <c r="E17" s="137">
        <v>0</v>
      </c>
      <c r="F17" s="137">
        <v>27673</v>
      </c>
      <c r="G17" s="137">
        <v>397299.5</v>
      </c>
      <c r="H17" s="138">
        <v>733656</v>
      </c>
    </row>
    <row r="18" spans="1:8" ht="15" thickBot="1" x14ac:dyDescent="0.35">
      <c r="A18" s="139" t="s">
        <v>140</v>
      </c>
      <c r="B18" s="140">
        <f>SUM(B15:B17)</f>
        <v>1197456</v>
      </c>
      <c r="C18" s="140">
        <f t="shared" ref="C18:H18" si="1">SUM(C15:C17)</f>
        <v>405608</v>
      </c>
      <c r="D18" s="140">
        <f t="shared" si="1"/>
        <v>405608</v>
      </c>
      <c r="E18" s="140">
        <f t="shared" si="1"/>
        <v>331431</v>
      </c>
      <c r="F18" s="140">
        <f t="shared" si="1"/>
        <v>857532</v>
      </c>
      <c r="G18" s="140">
        <f t="shared" si="1"/>
        <v>1848003</v>
      </c>
      <c r="H18" s="141">
        <f t="shared" si="1"/>
        <v>4397256</v>
      </c>
    </row>
    <row r="19" spans="1:8" ht="15" thickBot="1" x14ac:dyDescent="0.35">
      <c r="A19" s="142" t="s">
        <v>86</v>
      </c>
      <c r="B19" s="143">
        <f>+B14+B18</f>
        <v>8994013</v>
      </c>
      <c r="C19" s="143">
        <f t="shared" ref="C19:H19" si="2">+C14+C18</f>
        <v>2841189</v>
      </c>
      <c r="D19" s="143">
        <f t="shared" si="2"/>
        <v>2285400</v>
      </c>
      <c r="E19" s="143">
        <f t="shared" si="2"/>
        <v>911068</v>
      </c>
      <c r="F19" s="143">
        <f t="shared" si="2"/>
        <v>2230194</v>
      </c>
      <c r="G19" s="143">
        <f t="shared" si="2"/>
        <v>16088057</v>
      </c>
      <c r="H19" s="144">
        <f t="shared" si="2"/>
        <v>5836293</v>
      </c>
    </row>
    <row r="20" spans="1:8" x14ac:dyDescent="0.3">
      <c r="A20" s="52" t="s">
        <v>1</v>
      </c>
      <c r="B20" s="53">
        <v>7245</v>
      </c>
      <c r="C20" s="53">
        <v>379</v>
      </c>
      <c r="D20" s="53">
        <v>233</v>
      </c>
      <c r="E20" s="53">
        <v>147</v>
      </c>
      <c r="F20" s="53">
        <v>425</v>
      </c>
      <c r="G20" s="53">
        <v>308</v>
      </c>
      <c r="H20" s="71">
        <v>228</v>
      </c>
    </row>
    <row r="21" spans="1:8" x14ac:dyDescent="0.3">
      <c r="A21" s="87" t="s">
        <v>2</v>
      </c>
      <c r="B21" s="54">
        <v>327</v>
      </c>
      <c r="C21" s="54">
        <v>0</v>
      </c>
      <c r="D21" s="54">
        <v>0</v>
      </c>
      <c r="E21" s="54">
        <v>143</v>
      </c>
      <c r="F21" s="54">
        <v>1047</v>
      </c>
      <c r="G21" s="54">
        <v>194</v>
      </c>
      <c r="H21" s="57">
        <v>116</v>
      </c>
    </row>
    <row r="22" spans="1:8" ht="15" thickBot="1" x14ac:dyDescent="0.35">
      <c r="A22" s="101" t="s">
        <v>85</v>
      </c>
      <c r="B22" s="102">
        <v>17</v>
      </c>
      <c r="C22" s="102">
        <v>2</v>
      </c>
      <c r="D22" s="102">
        <v>2</v>
      </c>
      <c r="E22" s="102">
        <v>1</v>
      </c>
      <c r="F22" s="102">
        <v>2</v>
      </c>
      <c r="G22" s="102">
        <v>9</v>
      </c>
      <c r="H22" s="104">
        <v>1</v>
      </c>
    </row>
    <row r="23" spans="1:8" ht="15" thickBot="1" x14ac:dyDescent="0.35"/>
    <row r="24" spans="1:8" ht="15" thickBot="1" x14ac:dyDescent="0.35">
      <c r="A24" s="211" t="s">
        <v>118</v>
      </c>
      <c r="B24" s="212"/>
      <c r="C24" s="212"/>
      <c r="D24" s="212"/>
      <c r="E24" s="212"/>
      <c r="F24" s="212"/>
      <c r="G24" s="212"/>
      <c r="H24" s="213"/>
    </row>
    <row r="25" spans="1:8" x14ac:dyDescent="0.3">
      <c r="A25" s="52" t="s">
        <v>87</v>
      </c>
      <c r="B25" s="134">
        <f>+B6/B$19</f>
        <v>2.047195173055676E-2</v>
      </c>
      <c r="C25" s="134">
        <f t="shared" ref="C25:H25" si="3">+C6/C$19</f>
        <v>0</v>
      </c>
      <c r="D25" s="134">
        <f t="shared" si="3"/>
        <v>0</v>
      </c>
      <c r="E25" s="134">
        <f t="shared" si="3"/>
        <v>0</v>
      </c>
      <c r="F25" s="134">
        <f t="shared" si="3"/>
        <v>5.1405393432140879E-2</v>
      </c>
      <c r="G25" s="134">
        <f t="shared" si="3"/>
        <v>4.7748463347687044E-2</v>
      </c>
      <c r="H25" s="134">
        <f t="shared" si="3"/>
        <v>4.0267512271916439E-2</v>
      </c>
    </row>
    <row r="26" spans="1:8" x14ac:dyDescent="0.3">
      <c r="A26" s="87" t="s">
        <v>88</v>
      </c>
      <c r="B26" s="134">
        <f t="shared" ref="B26:H26" si="4">+B7/B$19</f>
        <v>4.2987651896878511E-2</v>
      </c>
      <c r="C26" s="134">
        <f t="shared" si="4"/>
        <v>1.4501323213626408E-2</v>
      </c>
      <c r="D26" s="134">
        <f t="shared" si="4"/>
        <v>1.8027916338496545E-2</v>
      </c>
      <c r="E26" s="134">
        <f t="shared" si="4"/>
        <v>2.4203462310167848E-2</v>
      </c>
      <c r="F26" s="134">
        <f t="shared" si="4"/>
        <v>1.8358940971054536E-2</v>
      </c>
      <c r="G26" s="134">
        <f t="shared" si="4"/>
        <v>6.6160848385855425E-2</v>
      </c>
      <c r="H26" s="134">
        <f t="shared" si="4"/>
        <v>6.2023959386548963E-3</v>
      </c>
    </row>
    <row r="27" spans="1:8" x14ac:dyDescent="0.3">
      <c r="A27" s="87" t="s">
        <v>89</v>
      </c>
      <c r="B27" s="134">
        <f t="shared" ref="B27:H27" si="5">+B8/B$19</f>
        <v>1.2047792236902482E-2</v>
      </c>
      <c r="C27" s="134">
        <f t="shared" si="5"/>
        <v>1.4026521994840892E-2</v>
      </c>
      <c r="D27" s="134">
        <f t="shared" si="5"/>
        <v>1.7437647676555527E-2</v>
      </c>
      <c r="E27" s="134">
        <f t="shared" si="5"/>
        <v>0</v>
      </c>
      <c r="F27" s="134">
        <f t="shared" si="5"/>
        <v>2.7149656038891683E-2</v>
      </c>
      <c r="G27" s="134">
        <f t="shared" si="5"/>
        <v>1.7291460367153101E-2</v>
      </c>
      <c r="H27" s="134">
        <f t="shared" si="5"/>
        <v>5.8019705316371198E-3</v>
      </c>
    </row>
    <row r="28" spans="1:8" x14ac:dyDescent="0.3">
      <c r="A28" s="87" t="s">
        <v>90</v>
      </c>
      <c r="B28" s="134">
        <f t="shared" ref="B28:H28" si="6">+B9/B$19</f>
        <v>6.5222665344157271E-2</v>
      </c>
      <c r="C28" s="134">
        <f t="shared" si="6"/>
        <v>0.11770952231618523</v>
      </c>
      <c r="D28" s="134">
        <f t="shared" si="6"/>
        <v>0.14633543362212303</v>
      </c>
      <c r="E28" s="134">
        <f t="shared" si="6"/>
        <v>0</v>
      </c>
      <c r="F28" s="134">
        <f t="shared" si="6"/>
        <v>0.1891472221699099</v>
      </c>
      <c r="G28" s="134">
        <f t="shared" si="6"/>
        <v>6.1734925479192425E-2</v>
      </c>
      <c r="H28" s="134">
        <f t="shared" si="6"/>
        <v>4.7205649202327574E-2</v>
      </c>
    </row>
    <row r="29" spans="1:8" x14ac:dyDescent="0.3">
      <c r="A29" s="87" t="s">
        <v>91</v>
      </c>
      <c r="B29" s="134">
        <f t="shared" ref="B29:H29" si="7">+B10/B$19</f>
        <v>2.6384607182578009E-2</v>
      </c>
      <c r="C29" s="134">
        <f t="shared" si="7"/>
        <v>2.4328898922246989E-2</v>
      </c>
      <c r="D29" s="134">
        <f t="shared" si="7"/>
        <v>3.024547125229719E-2</v>
      </c>
      <c r="E29" s="134">
        <f t="shared" si="7"/>
        <v>0</v>
      </c>
      <c r="F29" s="134">
        <f t="shared" si="7"/>
        <v>2.9441384919876926E-3</v>
      </c>
      <c r="G29" s="134">
        <f t="shared" si="7"/>
        <v>2.7909802905347739E-2</v>
      </c>
      <c r="H29" s="134">
        <f t="shared" si="7"/>
        <v>8.2787139028146807E-3</v>
      </c>
    </row>
    <row r="30" spans="1:8" x14ac:dyDescent="0.3">
      <c r="A30" s="87" t="s">
        <v>92</v>
      </c>
      <c r="B30" s="134">
        <f t="shared" ref="B30:H30" si="8">+B11/B$19</f>
        <v>0.27998819881625697</v>
      </c>
      <c r="C30" s="134">
        <f t="shared" si="8"/>
        <v>0.18511827266683067</v>
      </c>
      <c r="D30" s="134">
        <f t="shared" si="8"/>
        <v>0.46487748315393368</v>
      </c>
      <c r="E30" s="134">
        <f t="shared" si="8"/>
        <v>0.54906768759302271</v>
      </c>
      <c r="F30" s="134">
        <f t="shared" si="8"/>
        <v>0.18781729302473238</v>
      </c>
      <c r="G30" s="134">
        <f t="shared" si="8"/>
        <v>0.26504278919449376</v>
      </c>
      <c r="H30" s="134">
        <f t="shared" si="8"/>
        <v>9.3530602387508641E-2</v>
      </c>
    </row>
    <row r="31" spans="1:8" x14ac:dyDescent="0.3">
      <c r="A31" s="87" t="s">
        <v>126</v>
      </c>
      <c r="B31" s="134">
        <f t="shared" ref="B31:H31" si="9">+B12/B$19</f>
        <v>0</v>
      </c>
      <c r="C31" s="134">
        <f t="shared" si="9"/>
        <v>0</v>
      </c>
      <c r="D31" s="134">
        <f t="shared" si="9"/>
        <v>0</v>
      </c>
      <c r="E31" s="134">
        <f t="shared" si="9"/>
        <v>0</v>
      </c>
      <c r="F31" s="134">
        <f t="shared" si="9"/>
        <v>1.5361892283810288E-3</v>
      </c>
      <c r="G31" s="134">
        <f t="shared" si="9"/>
        <v>0</v>
      </c>
      <c r="H31" s="134">
        <f t="shared" si="9"/>
        <v>0</v>
      </c>
    </row>
    <row r="32" spans="1:8" x14ac:dyDescent="0.3">
      <c r="A32" s="87" t="s">
        <v>94</v>
      </c>
      <c r="B32" s="134">
        <f t="shared" ref="B32:H32" si="10">+B13/B$19</f>
        <v>0.20218733284019047</v>
      </c>
      <c r="C32" s="134">
        <f t="shared" si="10"/>
        <v>0.38443904998928263</v>
      </c>
      <c r="D32" s="134">
        <f t="shared" si="10"/>
        <v>0</v>
      </c>
      <c r="E32" s="134">
        <f t="shared" si="10"/>
        <v>0</v>
      </c>
      <c r="F32" s="134">
        <f t="shared" si="10"/>
        <v>2.9075945859418507E-2</v>
      </c>
      <c r="G32" s="134">
        <f t="shared" si="10"/>
        <v>0.1063322935765332</v>
      </c>
      <c r="H32" s="134">
        <f t="shared" si="10"/>
        <v>0</v>
      </c>
    </row>
    <row r="33" spans="1:8" ht="15" thickBot="1" x14ac:dyDescent="0.35">
      <c r="A33" s="87" t="s">
        <v>95</v>
      </c>
      <c r="B33" s="134">
        <f t="shared" ref="B33:H33" si="11">+B14/B$19</f>
        <v>0.8668607661563309</v>
      </c>
      <c r="C33" s="134">
        <f t="shared" si="11"/>
        <v>0.85724004985236812</v>
      </c>
      <c r="D33" s="134">
        <f t="shared" si="11"/>
        <v>0.82252209678830834</v>
      </c>
      <c r="E33" s="134">
        <f t="shared" si="11"/>
        <v>0.63621705514846316</v>
      </c>
      <c r="F33" s="134">
        <f t="shared" si="11"/>
        <v>0.6154899528919906</v>
      </c>
      <c r="G33" s="134">
        <f t="shared" si="11"/>
        <v>0.88513199574069135</v>
      </c>
      <c r="H33" s="134">
        <f t="shared" si="11"/>
        <v>0.24656695611409502</v>
      </c>
    </row>
    <row r="34" spans="1:8" ht="15" thickBot="1" x14ac:dyDescent="0.35">
      <c r="A34" s="145" t="s">
        <v>107</v>
      </c>
      <c r="B34" s="146">
        <f>+B14/B$19</f>
        <v>0.8668607661563309</v>
      </c>
      <c r="C34" s="146">
        <f t="shared" ref="C34:H34" si="12">+C14/C$19</f>
        <v>0.85724004985236812</v>
      </c>
      <c r="D34" s="146">
        <f t="shared" si="12"/>
        <v>0.82252209678830834</v>
      </c>
      <c r="E34" s="146">
        <f t="shared" si="12"/>
        <v>0.63621705514846316</v>
      </c>
      <c r="F34" s="146">
        <f t="shared" si="12"/>
        <v>0.6154899528919906</v>
      </c>
      <c r="G34" s="146">
        <f t="shared" si="12"/>
        <v>0.88513199574069135</v>
      </c>
      <c r="H34" s="146">
        <f t="shared" si="12"/>
        <v>0.24656695611409502</v>
      </c>
    </row>
    <row r="35" spans="1:8" x14ac:dyDescent="0.3">
      <c r="A35" s="87" t="s">
        <v>96</v>
      </c>
      <c r="B35" s="85">
        <f>+B15/B$19</f>
        <v>8.6435999147432857E-2</v>
      </c>
      <c r="C35" s="85">
        <f t="shared" ref="C35:H35" si="13">+C15/C$19</f>
        <v>5.6311635727155078E-2</v>
      </c>
      <c r="D35" s="85">
        <f t="shared" si="13"/>
        <v>7.0006125842303313E-2</v>
      </c>
      <c r="E35" s="85">
        <f t="shared" si="13"/>
        <v>0</v>
      </c>
      <c r="F35" s="85">
        <f t="shared" si="13"/>
        <v>0</v>
      </c>
      <c r="G35" s="85">
        <f t="shared" si="13"/>
        <v>7.6681727321080473E-2</v>
      </c>
      <c r="H35" s="85">
        <f t="shared" si="13"/>
        <v>0.52833039739437349</v>
      </c>
    </row>
    <row r="36" spans="1:8" x14ac:dyDescent="0.3">
      <c r="A36" s="87" t="s">
        <v>97</v>
      </c>
      <c r="B36" s="85">
        <f t="shared" ref="B36:H36" si="14">+B16/B$19</f>
        <v>1.4588204397747702E-2</v>
      </c>
      <c r="C36" s="85">
        <f t="shared" si="14"/>
        <v>0</v>
      </c>
      <c r="D36" s="85">
        <f t="shared" si="14"/>
        <v>0</v>
      </c>
      <c r="E36" s="85">
        <f t="shared" si="14"/>
        <v>0.36378294485153689</v>
      </c>
      <c r="F36" s="85">
        <f t="shared" si="14"/>
        <v>0.37210170953737659</v>
      </c>
      <c r="G36" s="85">
        <f t="shared" si="14"/>
        <v>1.3490970351484955E-2</v>
      </c>
      <c r="H36" s="85">
        <f t="shared" si="14"/>
        <v>9.9396826033237198E-2</v>
      </c>
    </row>
    <row r="37" spans="1:8" ht="15" thickBot="1" x14ac:dyDescent="0.35">
      <c r="A37" s="87" t="s">
        <v>98</v>
      </c>
      <c r="B37" s="85">
        <f t="shared" ref="B37:H37" si="15">+B17/B$19</f>
        <v>3.2115030298488563E-2</v>
      </c>
      <c r="C37" s="85">
        <f t="shared" si="15"/>
        <v>8.6448314420476777E-2</v>
      </c>
      <c r="D37" s="85">
        <f t="shared" si="15"/>
        <v>0.10747177736938829</v>
      </c>
      <c r="E37" s="85">
        <f t="shared" si="15"/>
        <v>0</v>
      </c>
      <c r="F37" s="85">
        <f t="shared" si="15"/>
        <v>1.2408337570632869E-2</v>
      </c>
      <c r="G37" s="85">
        <f t="shared" si="15"/>
        <v>2.4695306586743196E-2</v>
      </c>
      <c r="H37" s="85">
        <f t="shared" si="15"/>
        <v>0.12570582045829434</v>
      </c>
    </row>
    <row r="38" spans="1:8" ht="15" thickBot="1" x14ac:dyDescent="0.35">
      <c r="A38" s="147" t="s">
        <v>111</v>
      </c>
      <c r="B38" s="148">
        <f>+B18/B$19</f>
        <v>0.1331392338436691</v>
      </c>
      <c r="C38" s="148">
        <f t="shared" ref="C38:H38" si="16">+C18/C$19</f>
        <v>0.14275995014763185</v>
      </c>
      <c r="D38" s="148">
        <f t="shared" si="16"/>
        <v>0.1774779032116916</v>
      </c>
      <c r="E38" s="148">
        <f t="shared" si="16"/>
        <v>0.36378294485153689</v>
      </c>
      <c r="F38" s="148">
        <f t="shared" si="16"/>
        <v>0.38451004710800946</v>
      </c>
      <c r="G38" s="148">
        <f t="shared" si="16"/>
        <v>0.11486800425930863</v>
      </c>
      <c r="H38" s="148">
        <f t="shared" si="16"/>
        <v>0.75343304388590493</v>
      </c>
    </row>
    <row r="39" spans="1:8" ht="15" thickBot="1" x14ac:dyDescent="0.35">
      <c r="A39" s="149" t="s">
        <v>86</v>
      </c>
      <c r="B39" s="150">
        <f>+B19/B$19</f>
        <v>1</v>
      </c>
      <c r="C39" s="150">
        <f t="shared" ref="C39:H39" si="17">+C19/C$19</f>
        <v>1</v>
      </c>
      <c r="D39" s="150">
        <f t="shared" si="17"/>
        <v>1</v>
      </c>
      <c r="E39" s="150">
        <f t="shared" si="17"/>
        <v>1</v>
      </c>
      <c r="F39" s="150">
        <f t="shared" si="17"/>
        <v>1</v>
      </c>
      <c r="G39" s="150">
        <f t="shared" si="17"/>
        <v>1</v>
      </c>
      <c r="H39" s="150">
        <f t="shared" si="17"/>
        <v>1</v>
      </c>
    </row>
    <row r="40" spans="1:8" x14ac:dyDescent="0.3">
      <c r="A40" s="28"/>
      <c r="B40" s="28"/>
      <c r="C40" s="28"/>
      <c r="D40" s="28"/>
      <c r="E40" s="28"/>
      <c r="F40" s="28"/>
      <c r="G40" s="28"/>
      <c r="H40" s="28"/>
    </row>
    <row r="41" spans="1:8" x14ac:dyDescent="0.3">
      <c r="A41" s="28" t="s">
        <v>143</v>
      </c>
      <c r="B41" s="28"/>
      <c r="C41" s="28"/>
      <c r="D41" s="28"/>
      <c r="E41" s="28"/>
      <c r="F41" s="28"/>
      <c r="G41" s="28"/>
      <c r="H41" s="28"/>
    </row>
    <row r="42" spans="1:8" x14ac:dyDescent="0.3">
      <c r="A42" s="28" t="s">
        <v>122</v>
      </c>
      <c r="B42" s="28"/>
      <c r="C42" s="28"/>
      <c r="D42" s="28"/>
      <c r="E42" s="28"/>
      <c r="F42" s="28"/>
      <c r="G42" s="28"/>
      <c r="H42" s="28"/>
    </row>
    <row r="43" spans="1:8" x14ac:dyDescent="0.3">
      <c r="A43" s="28" t="s">
        <v>123</v>
      </c>
      <c r="B43" s="28"/>
      <c r="C43" s="28"/>
      <c r="D43" s="28"/>
      <c r="E43" s="28"/>
      <c r="F43" s="28"/>
      <c r="G43" s="28"/>
      <c r="H43" s="28"/>
    </row>
    <row r="44" spans="1:8" x14ac:dyDescent="0.3">
      <c r="A44" s="95">
        <v>41008</v>
      </c>
      <c r="B44" s="28"/>
      <c r="C44" s="28"/>
      <c r="D44" s="28"/>
      <c r="E44" s="28"/>
      <c r="F44" s="28"/>
      <c r="G44" s="28"/>
      <c r="H44" s="28"/>
    </row>
  </sheetData>
  <sortState ref="A5:R13">
    <sortCondition ref="A5:A13"/>
  </sortState>
  <mergeCells count="3">
    <mergeCell ref="A24:H24"/>
    <mergeCell ref="A1:H1"/>
    <mergeCell ref="A2:H2"/>
  </mergeCells>
  <hyperlinks>
    <hyperlink ref="A1:H1" location="CONTENIDO!A1" display="EMPRESAS DE TRANSPORTE AÉREO  COMERCIAL REGIONAL  - COSTOS DE OPERACIÓN POR TIPO DE AERONAVE  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workbookViewId="0">
      <selection activeCell="M26" sqref="M26"/>
    </sheetView>
  </sheetViews>
  <sheetFormatPr baseColWidth="10" defaultRowHeight="14.4" x14ac:dyDescent="0.3"/>
  <cols>
    <col min="1" max="1" width="24.1796875" style="96" customWidth="1"/>
    <col min="2" max="4" width="9" style="96" customWidth="1"/>
    <col min="5" max="5" width="9.1796875" style="96" customWidth="1"/>
    <col min="6" max="7" width="9" style="96" customWidth="1"/>
    <col min="8" max="8" width="10" style="28" customWidth="1"/>
    <col min="9" max="9" width="9" style="28" customWidth="1"/>
    <col min="10" max="16384" width="10.90625" style="28"/>
  </cols>
  <sheetData>
    <row r="1" spans="1:9" x14ac:dyDescent="0.3">
      <c r="A1" s="189" t="s">
        <v>142</v>
      </c>
      <c r="B1" s="190"/>
      <c r="C1" s="190"/>
      <c r="D1" s="190"/>
      <c r="E1" s="190"/>
      <c r="F1" s="190"/>
      <c r="G1" s="190"/>
      <c r="H1" s="190"/>
      <c r="I1" s="191"/>
    </row>
    <row r="2" spans="1:9" ht="15" thickBot="1" x14ac:dyDescent="0.35">
      <c r="A2" s="192" t="s">
        <v>144</v>
      </c>
      <c r="B2" s="193"/>
      <c r="C2" s="193"/>
      <c r="D2" s="193"/>
      <c r="E2" s="193"/>
      <c r="F2" s="193"/>
      <c r="G2" s="193"/>
      <c r="H2" s="193"/>
      <c r="I2" s="194"/>
    </row>
    <row r="3" spans="1:9" ht="15" thickBot="1" x14ac:dyDescent="0.35">
      <c r="A3" s="28"/>
      <c r="B3" s="28"/>
      <c r="C3" s="28"/>
      <c r="D3" s="28"/>
      <c r="E3" s="28"/>
      <c r="F3" s="28"/>
      <c r="G3" s="28"/>
    </row>
    <row r="4" spans="1:9" ht="15" thickBot="1" x14ac:dyDescent="0.35">
      <c r="A4" s="45" t="s">
        <v>0</v>
      </c>
      <c r="B4" s="45" t="s">
        <v>36</v>
      </c>
      <c r="C4" s="45" t="s">
        <v>72</v>
      </c>
      <c r="D4" s="45" t="s">
        <v>76</v>
      </c>
      <c r="E4" s="45" t="s">
        <v>77</v>
      </c>
      <c r="F4" s="45" t="s">
        <v>43</v>
      </c>
      <c r="G4" s="45" t="s">
        <v>81</v>
      </c>
      <c r="H4" s="45" t="s">
        <v>78</v>
      </c>
      <c r="I4" s="45" t="s">
        <v>54</v>
      </c>
    </row>
    <row r="5" spans="1:9" x14ac:dyDescent="0.3">
      <c r="A5" s="48" t="s">
        <v>87</v>
      </c>
      <c r="B5" s="49">
        <v>1427625.3333333333</v>
      </c>
      <c r="C5" s="49">
        <v>369525</v>
      </c>
      <c r="D5" s="49">
        <v>332750</v>
      </c>
      <c r="E5" s="49">
        <v>350825.5</v>
      </c>
      <c r="F5" s="49">
        <v>101350.5</v>
      </c>
      <c r="G5" s="49">
        <v>207487</v>
      </c>
      <c r="H5" s="120">
        <v>4896976.5</v>
      </c>
      <c r="I5" s="132">
        <v>264268</v>
      </c>
    </row>
    <row r="6" spans="1:9" x14ac:dyDescent="0.3">
      <c r="A6" s="87" t="s">
        <v>88</v>
      </c>
      <c r="B6" s="54">
        <v>122750</v>
      </c>
      <c r="C6" s="54">
        <v>0</v>
      </c>
      <c r="D6" s="54">
        <v>0</v>
      </c>
      <c r="E6" s="54">
        <v>0</v>
      </c>
      <c r="F6" s="54">
        <v>20000</v>
      </c>
      <c r="G6" s="54">
        <v>77322</v>
      </c>
      <c r="H6" s="56">
        <v>768180</v>
      </c>
      <c r="I6" s="59">
        <v>235013</v>
      </c>
    </row>
    <row r="7" spans="1:9" x14ac:dyDescent="0.3">
      <c r="A7" s="87" t="s">
        <v>89</v>
      </c>
      <c r="B7" s="54">
        <v>292576</v>
      </c>
      <c r="C7" s="54">
        <v>104554</v>
      </c>
      <c r="D7" s="54">
        <v>41201</v>
      </c>
      <c r="E7" s="54">
        <v>72789</v>
      </c>
      <c r="F7" s="54">
        <v>35696</v>
      </c>
      <c r="G7" s="54">
        <v>39265</v>
      </c>
      <c r="H7" s="56">
        <v>1116631</v>
      </c>
      <c r="I7" s="59">
        <v>36199</v>
      </c>
    </row>
    <row r="8" spans="1:9" x14ac:dyDescent="0.3">
      <c r="A8" s="87" t="s">
        <v>127</v>
      </c>
      <c r="B8" s="54">
        <v>87102.666666666672</v>
      </c>
      <c r="C8" s="54">
        <v>44630</v>
      </c>
      <c r="D8" s="54">
        <v>39852</v>
      </c>
      <c r="E8" s="54">
        <v>42203</v>
      </c>
      <c r="F8" s="54">
        <v>20000</v>
      </c>
      <c r="G8" s="54">
        <v>66234</v>
      </c>
      <c r="H8" s="56">
        <v>300481.5</v>
      </c>
      <c r="I8" s="59">
        <v>33862</v>
      </c>
    </row>
    <row r="9" spans="1:9" x14ac:dyDescent="0.3">
      <c r="A9" s="87" t="s">
        <v>91</v>
      </c>
      <c r="B9" s="54">
        <v>554259.33333333337</v>
      </c>
      <c r="C9" s="54">
        <v>489968</v>
      </c>
      <c r="D9" s="54">
        <v>334435</v>
      </c>
      <c r="E9" s="54">
        <v>411787</v>
      </c>
      <c r="F9" s="54">
        <v>127650</v>
      </c>
      <c r="G9" s="54">
        <v>346968</v>
      </c>
      <c r="H9" s="56">
        <v>1237964.5</v>
      </c>
      <c r="I9" s="59">
        <v>275506</v>
      </c>
    </row>
    <row r="10" spans="1:9" x14ac:dyDescent="0.3">
      <c r="A10" s="87" t="s">
        <v>92</v>
      </c>
      <c r="B10" s="54">
        <v>166302</v>
      </c>
      <c r="C10" s="54">
        <v>24319</v>
      </c>
      <c r="D10" s="54">
        <v>69123</v>
      </c>
      <c r="E10" s="54">
        <v>46701</v>
      </c>
      <c r="F10" s="54">
        <v>1879</v>
      </c>
      <c r="G10" s="54">
        <v>5254</v>
      </c>
      <c r="H10" s="56">
        <v>461163.5</v>
      </c>
      <c r="I10" s="59">
        <v>48317</v>
      </c>
    </row>
    <row r="11" spans="1:9" x14ac:dyDescent="0.3">
      <c r="A11" s="87" t="s">
        <v>93</v>
      </c>
      <c r="B11" s="54">
        <v>1889408.6666666667</v>
      </c>
      <c r="C11" s="54">
        <v>526941</v>
      </c>
      <c r="D11" s="54">
        <v>525956</v>
      </c>
      <c r="E11" s="54">
        <v>1062526</v>
      </c>
      <c r="F11" s="54">
        <v>510119</v>
      </c>
      <c r="G11" s="54">
        <v>463346.5</v>
      </c>
      <c r="H11" s="56">
        <v>4495674.5</v>
      </c>
      <c r="I11" s="59">
        <v>545872</v>
      </c>
    </row>
    <row r="12" spans="1:9" x14ac:dyDescent="0.3">
      <c r="A12" s="87" t="s">
        <v>94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3285.5</v>
      </c>
      <c r="H12" s="56">
        <v>0</v>
      </c>
      <c r="I12" s="59">
        <v>0</v>
      </c>
    </row>
    <row r="13" spans="1:9" ht="15" thickBot="1" x14ac:dyDescent="0.35">
      <c r="A13" s="136" t="s">
        <v>95</v>
      </c>
      <c r="B13" s="137">
        <v>1443721</v>
      </c>
      <c r="C13" s="137">
        <v>651740</v>
      </c>
      <c r="D13" s="137">
        <v>1092264</v>
      </c>
      <c r="E13" s="137">
        <v>0</v>
      </c>
      <c r="F13" s="137">
        <v>0</v>
      </c>
      <c r="G13" s="137">
        <v>73786</v>
      </c>
      <c r="H13" s="61">
        <v>1758690.5</v>
      </c>
      <c r="I13" s="63">
        <v>0</v>
      </c>
    </row>
    <row r="14" spans="1:9" ht="15" thickBot="1" x14ac:dyDescent="0.35">
      <c r="A14" s="139" t="s">
        <v>139</v>
      </c>
      <c r="B14" s="140">
        <f>SUM(B5:B13)</f>
        <v>5983745</v>
      </c>
      <c r="C14" s="140">
        <f t="shared" ref="C14:I14" si="0">SUM(C5:C13)</f>
        <v>2211677</v>
      </c>
      <c r="D14" s="140">
        <f t="shared" si="0"/>
        <v>2435581</v>
      </c>
      <c r="E14" s="140">
        <f t="shared" si="0"/>
        <v>1986831.5</v>
      </c>
      <c r="F14" s="140">
        <f t="shared" si="0"/>
        <v>816694.5</v>
      </c>
      <c r="G14" s="140">
        <f t="shared" si="0"/>
        <v>1282948</v>
      </c>
      <c r="H14" s="140">
        <f t="shared" si="0"/>
        <v>15035762</v>
      </c>
      <c r="I14" s="141">
        <f t="shared" si="0"/>
        <v>1439037</v>
      </c>
    </row>
    <row r="15" spans="1:9" x14ac:dyDescent="0.3">
      <c r="A15" s="52" t="s">
        <v>96</v>
      </c>
      <c r="B15" s="53">
        <v>573288.33333333337</v>
      </c>
      <c r="C15" s="53">
        <v>165192</v>
      </c>
      <c r="D15" s="53">
        <v>159992</v>
      </c>
      <c r="E15" s="53">
        <v>162452.5</v>
      </c>
      <c r="F15" s="53">
        <v>0</v>
      </c>
      <c r="G15" s="53">
        <v>0</v>
      </c>
      <c r="H15" s="69">
        <v>1316184</v>
      </c>
      <c r="I15" s="76">
        <v>3083491</v>
      </c>
    </row>
    <row r="16" spans="1:9" x14ac:dyDescent="0.3">
      <c r="A16" s="87" t="s">
        <v>97</v>
      </c>
      <c r="B16" s="54">
        <v>87471</v>
      </c>
      <c r="C16" s="54">
        <v>0</v>
      </c>
      <c r="D16" s="54">
        <v>0</v>
      </c>
      <c r="E16" s="54">
        <v>0</v>
      </c>
      <c r="F16" s="54">
        <v>371402</v>
      </c>
      <c r="G16" s="54">
        <v>740772.5</v>
      </c>
      <c r="H16" s="56">
        <v>217043.5</v>
      </c>
      <c r="I16" s="59">
        <v>580109</v>
      </c>
    </row>
    <row r="17" spans="1:9" ht="15" thickBot="1" x14ac:dyDescent="0.35">
      <c r="A17" s="136" t="s">
        <v>98</v>
      </c>
      <c r="B17" s="137">
        <v>376971</v>
      </c>
      <c r="C17" s="137">
        <v>553699</v>
      </c>
      <c r="D17" s="137">
        <v>245616</v>
      </c>
      <c r="E17" s="137">
        <v>399189</v>
      </c>
      <c r="F17" s="137">
        <v>28778</v>
      </c>
      <c r="G17" s="137">
        <v>35397.5</v>
      </c>
      <c r="H17" s="61">
        <v>673906.5</v>
      </c>
      <c r="I17" s="63">
        <v>733656</v>
      </c>
    </row>
    <row r="18" spans="1:9" ht="15" thickBot="1" x14ac:dyDescent="0.35">
      <c r="A18" s="139" t="s">
        <v>140</v>
      </c>
      <c r="B18" s="140">
        <f>SUM(B15:B17)</f>
        <v>1037730.3333333334</v>
      </c>
      <c r="C18" s="140">
        <f t="shared" ref="C18:I18" si="1">SUM(C15:C17)</f>
        <v>718891</v>
      </c>
      <c r="D18" s="140">
        <f t="shared" si="1"/>
        <v>405608</v>
      </c>
      <c r="E18" s="140">
        <f t="shared" si="1"/>
        <v>561641.5</v>
      </c>
      <c r="F18" s="140">
        <f t="shared" si="1"/>
        <v>400180</v>
      </c>
      <c r="G18" s="140">
        <f t="shared" si="1"/>
        <v>776170</v>
      </c>
      <c r="H18" s="140">
        <f t="shared" si="1"/>
        <v>2207134</v>
      </c>
      <c r="I18" s="141">
        <f t="shared" si="1"/>
        <v>4397256</v>
      </c>
    </row>
    <row r="19" spans="1:9" ht="15" thickBot="1" x14ac:dyDescent="0.35">
      <c r="A19" s="142" t="s">
        <v>86</v>
      </c>
      <c r="B19" s="143">
        <f>+B14+B18</f>
        <v>7021475.333333333</v>
      </c>
      <c r="C19" s="143">
        <f t="shared" ref="C19:I19" si="2">+C14+C18</f>
        <v>2930568</v>
      </c>
      <c r="D19" s="143">
        <f t="shared" si="2"/>
        <v>2841189</v>
      </c>
      <c r="E19" s="143">
        <f t="shared" si="2"/>
        <v>2548473</v>
      </c>
      <c r="F19" s="143">
        <f t="shared" si="2"/>
        <v>1216874.5</v>
      </c>
      <c r="G19" s="143">
        <f t="shared" si="2"/>
        <v>2059118</v>
      </c>
      <c r="H19" s="143">
        <f t="shared" si="2"/>
        <v>17242896</v>
      </c>
      <c r="I19" s="144">
        <f t="shared" si="2"/>
        <v>5836293</v>
      </c>
    </row>
    <row r="20" spans="1:9" x14ac:dyDescent="0.3">
      <c r="A20" s="52" t="s">
        <v>1</v>
      </c>
      <c r="B20" s="53">
        <v>14038</v>
      </c>
      <c r="C20" s="53">
        <v>270</v>
      </c>
      <c r="D20" s="53">
        <v>379</v>
      </c>
      <c r="E20" s="53">
        <v>689</v>
      </c>
      <c r="F20" s="53">
        <v>500</v>
      </c>
      <c r="G20" s="53">
        <v>888</v>
      </c>
      <c r="H20" s="69">
        <v>2966</v>
      </c>
      <c r="I20" s="76">
        <v>228</v>
      </c>
    </row>
    <row r="21" spans="1:9" x14ac:dyDescent="0.3">
      <c r="A21" s="87" t="s">
        <v>2</v>
      </c>
      <c r="B21" s="54">
        <v>6334</v>
      </c>
      <c r="C21" s="54">
        <v>252</v>
      </c>
      <c r="D21" s="54">
        <v>0</v>
      </c>
      <c r="E21" s="54">
        <v>393</v>
      </c>
      <c r="F21" s="54">
        <v>1075</v>
      </c>
      <c r="G21" s="54">
        <v>1921</v>
      </c>
      <c r="H21" s="56">
        <v>3415</v>
      </c>
      <c r="I21" s="59">
        <v>116</v>
      </c>
    </row>
    <row r="22" spans="1:9" ht="15" thickBot="1" x14ac:dyDescent="0.35">
      <c r="A22" s="101" t="s">
        <v>85</v>
      </c>
      <c r="B22" s="102">
        <v>32</v>
      </c>
      <c r="C22" s="102">
        <v>2</v>
      </c>
      <c r="D22" s="102">
        <v>2</v>
      </c>
      <c r="E22" s="102">
        <v>6</v>
      </c>
      <c r="F22" s="102">
        <v>2</v>
      </c>
      <c r="G22" s="102">
        <v>3</v>
      </c>
      <c r="H22" s="78">
        <v>16</v>
      </c>
      <c r="I22" s="80">
        <v>1</v>
      </c>
    </row>
    <row r="23" spans="1:9" ht="15" thickBot="1" x14ac:dyDescent="0.35"/>
    <row r="24" spans="1:9" ht="15" thickBot="1" x14ac:dyDescent="0.35">
      <c r="A24" s="211" t="s">
        <v>118</v>
      </c>
      <c r="B24" s="212"/>
      <c r="C24" s="212"/>
      <c r="D24" s="212"/>
      <c r="E24" s="212"/>
      <c r="F24" s="212"/>
      <c r="G24" s="212"/>
      <c r="H24" s="212"/>
      <c r="I24" s="213"/>
    </row>
    <row r="25" spans="1:9" x14ac:dyDescent="0.3">
      <c r="A25" s="52" t="s">
        <v>87</v>
      </c>
      <c r="B25" s="134">
        <f>+B5/B$19</f>
        <v>0.20332270150632159</v>
      </c>
      <c r="C25" s="134">
        <f t="shared" ref="C25:I25" si="3">+C5/C$19</f>
        <v>0.12609330341421868</v>
      </c>
      <c r="D25" s="134">
        <f t="shared" si="3"/>
        <v>0.11711646074935529</v>
      </c>
      <c r="E25" s="134">
        <f t="shared" si="3"/>
        <v>0.13766106213407009</v>
      </c>
      <c r="F25" s="134">
        <f t="shared" si="3"/>
        <v>8.3287553482302407E-2</v>
      </c>
      <c r="G25" s="134">
        <f t="shared" si="3"/>
        <v>0.10076498772775529</v>
      </c>
      <c r="H25" s="134">
        <f t="shared" si="3"/>
        <v>0.28399965411842654</v>
      </c>
      <c r="I25" s="134">
        <f t="shared" si="3"/>
        <v>4.5280111879235675E-2</v>
      </c>
    </row>
    <row r="26" spans="1:9" x14ac:dyDescent="0.3">
      <c r="A26" s="87" t="s">
        <v>88</v>
      </c>
      <c r="B26" s="134">
        <f t="shared" ref="B26:I26" si="4">+B6/B$19</f>
        <v>1.7482080926392203E-2</v>
      </c>
      <c r="C26" s="134">
        <f t="shared" si="4"/>
        <v>0</v>
      </c>
      <c r="D26" s="134">
        <f t="shared" si="4"/>
        <v>0</v>
      </c>
      <c r="E26" s="134">
        <f t="shared" si="4"/>
        <v>0</v>
      </c>
      <c r="F26" s="134">
        <f t="shared" si="4"/>
        <v>1.6435548612449353E-2</v>
      </c>
      <c r="G26" s="134">
        <f t="shared" si="4"/>
        <v>3.7551029129947872E-2</v>
      </c>
      <c r="H26" s="134">
        <f t="shared" si="4"/>
        <v>4.4550520979770449E-2</v>
      </c>
      <c r="I26" s="134">
        <f t="shared" si="4"/>
        <v>4.0267512271916439E-2</v>
      </c>
    </row>
    <row r="27" spans="1:9" x14ac:dyDescent="0.3">
      <c r="A27" s="87" t="s">
        <v>89</v>
      </c>
      <c r="B27" s="134">
        <f t="shared" ref="B27:I27" si="5">+B7/B$19</f>
        <v>4.1668735715846235E-2</v>
      </c>
      <c r="C27" s="134">
        <f t="shared" si="5"/>
        <v>3.5677042812178393E-2</v>
      </c>
      <c r="D27" s="134">
        <f t="shared" si="5"/>
        <v>1.4501323213626408E-2</v>
      </c>
      <c r="E27" s="134">
        <f t="shared" si="5"/>
        <v>2.8561809365843783E-2</v>
      </c>
      <c r="F27" s="134">
        <f t="shared" si="5"/>
        <v>2.9334167163499604E-2</v>
      </c>
      <c r="G27" s="134">
        <f t="shared" si="5"/>
        <v>1.906884403904973E-2</v>
      </c>
      <c r="H27" s="134">
        <f t="shared" si="5"/>
        <v>6.475890128897141E-2</v>
      </c>
      <c r="I27" s="134">
        <f t="shared" si="5"/>
        <v>6.2023959386548963E-3</v>
      </c>
    </row>
    <row r="28" spans="1:9" x14ac:dyDescent="0.3">
      <c r="A28" s="87" t="s">
        <v>90</v>
      </c>
      <c r="B28" s="134">
        <f t="shared" ref="B28:I28" si="6">+B8/B$19</f>
        <v>1.2405180183879686E-2</v>
      </c>
      <c r="C28" s="134">
        <f t="shared" si="6"/>
        <v>1.5229129643127204E-2</v>
      </c>
      <c r="D28" s="134">
        <f t="shared" si="6"/>
        <v>1.4026521994840892E-2</v>
      </c>
      <c r="E28" s="134">
        <f t="shared" si="6"/>
        <v>1.6560112663544013E-2</v>
      </c>
      <c r="F28" s="134">
        <f t="shared" si="6"/>
        <v>1.6435548612449353E-2</v>
      </c>
      <c r="G28" s="134">
        <f t="shared" si="6"/>
        <v>3.2166199314463767E-2</v>
      </c>
      <c r="H28" s="134">
        <f t="shared" si="6"/>
        <v>1.7426394034969532E-2</v>
      </c>
      <c r="I28" s="134">
        <f t="shared" si="6"/>
        <v>5.8019705316371198E-3</v>
      </c>
    </row>
    <row r="29" spans="1:9" x14ac:dyDescent="0.3">
      <c r="A29" s="87" t="s">
        <v>91</v>
      </c>
      <c r="B29" s="134">
        <f t="shared" ref="B29:I29" si="7">+B9/B$19</f>
        <v>7.8937731320093893E-2</v>
      </c>
      <c r="C29" s="134">
        <f t="shared" si="7"/>
        <v>0.16719216206551085</v>
      </c>
      <c r="D29" s="134">
        <f t="shared" si="7"/>
        <v>0.11770952231618523</v>
      </c>
      <c r="E29" s="134">
        <f t="shared" si="7"/>
        <v>0.16158185705714756</v>
      </c>
      <c r="F29" s="134">
        <f t="shared" si="7"/>
        <v>0.104899889018958</v>
      </c>
      <c r="G29" s="134">
        <f t="shared" si="7"/>
        <v>0.16850321351180456</v>
      </c>
      <c r="H29" s="134">
        <f t="shared" si="7"/>
        <v>7.179562528243516E-2</v>
      </c>
      <c r="I29" s="134">
        <f t="shared" si="7"/>
        <v>4.7205649202327574E-2</v>
      </c>
    </row>
    <row r="30" spans="1:9" x14ac:dyDescent="0.3">
      <c r="A30" s="87" t="s">
        <v>92</v>
      </c>
      <c r="B30" s="134">
        <f t="shared" ref="B30:I30" si="8">+B10/B$19</f>
        <v>2.368476596513952E-2</v>
      </c>
      <c r="C30" s="134">
        <f t="shared" si="8"/>
        <v>8.2983913016179793E-3</v>
      </c>
      <c r="D30" s="134">
        <f t="shared" si="8"/>
        <v>2.4328898922246989E-2</v>
      </c>
      <c r="E30" s="134">
        <f t="shared" si="8"/>
        <v>1.8325091142813756E-2</v>
      </c>
      <c r="F30" s="134">
        <f t="shared" si="8"/>
        <v>1.5441197921396168E-3</v>
      </c>
      <c r="G30" s="134">
        <f t="shared" si="8"/>
        <v>2.5515779085997013E-3</v>
      </c>
      <c r="H30" s="134">
        <f t="shared" si="8"/>
        <v>2.6745130284379144E-2</v>
      </c>
      <c r="I30" s="134">
        <f t="shared" si="8"/>
        <v>8.2787139028146807E-3</v>
      </c>
    </row>
    <row r="31" spans="1:9" x14ac:dyDescent="0.3">
      <c r="A31" s="87" t="s">
        <v>126</v>
      </c>
      <c r="B31" s="134">
        <f t="shared" ref="B31:I31" si="9">+B11/B$19</f>
        <v>0.2690899813742848</v>
      </c>
      <c r="C31" s="134">
        <f t="shared" si="9"/>
        <v>0.17980848763789137</v>
      </c>
      <c r="D31" s="134">
        <f t="shared" si="9"/>
        <v>0.18511827266683067</v>
      </c>
      <c r="E31" s="134">
        <f t="shared" si="9"/>
        <v>0.41692652816019632</v>
      </c>
      <c r="F31" s="134">
        <f t="shared" si="9"/>
        <v>0.41920428113170255</v>
      </c>
      <c r="G31" s="134">
        <f t="shared" si="9"/>
        <v>0.22502182973486706</v>
      </c>
      <c r="H31" s="134">
        <f t="shared" si="9"/>
        <v>0.26072618543891929</v>
      </c>
      <c r="I31" s="134">
        <f t="shared" si="9"/>
        <v>9.3530602387508641E-2</v>
      </c>
    </row>
    <row r="32" spans="1:9" x14ac:dyDescent="0.3">
      <c r="A32" s="87" t="s">
        <v>94</v>
      </c>
      <c r="B32" s="134">
        <f t="shared" ref="B32:I32" si="10">+B12/B$19</f>
        <v>0</v>
      </c>
      <c r="C32" s="134">
        <f t="shared" si="10"/>
        <v>0</v>
      </c>
      <c r="D32" s="134">
        <f t="shared" si="10"/>
        <v>0</v>
      </c>
      <c r="E32" s="134">
        <f t="shared" si="10"/>
        <v>0</v>
      </c>
      <c r="F32" s="134">
        <f t="shared" si="10"/>
        <v>0</v>
      </c>
      <c r="G32" s="134">
        <f t="shared" si="10"/>
        <v>1.5955860713179138E-3</v>
      </c>
      <c r="H32" s="134">
        <f t="shared" si="10"/>
        <v>0</v>
      </c>
      <c r="I32" s="134">
        <f t="shared" si="10"/>
        <v>0</v>
      </c>
    </row>
    <row r="33" spans="1:9" ht="15" thickBot="1" x14ac:dyDescent="0.35">
      <c r="A33" s="87" t="s">
        <v>95</v>
      </c>
      <c r="B33" s="134">
        <f t="shared" ref="B33:I33" si="11">+B13/B$19</f>
        <v>0.20561504975260186</v>
      </c>
      <c r="C33" s="134">
        <f t="shared" si="11"/>
        <v>0.22239374756019994</v>
      </c>
      <c r="D33" s="134">
        <f t="shared" si="11"/>
        <v>0.38443904998928263</v>
      </c>
      <c r="E33" s="134">
        <f t="shared" si="11"/>
        <v>0</v>
      </c>
      <c r="F33" s="134">
        <f t="shared" si="11"/>
        <v>0</v>
      </c>
      <c r="G33" s="134">
        <f t="shared" si="11"/>
        <v>3.5833789030060445E-2</v>
      </c>
      <c r="H33" s="134">
        <f t="shared" si="11"/>
        <v>0.10199507669709311</v>
      </c>
      <c r="I33" s="134">
        <f t="shared" si="11"/>
        <v>0</v>
      </c>
    </row>
    <row r="34" spans="1:9" ht="15" thickBot="1" x14ac:dyDescent="0.35">
      <c r="A34" s="145" t="s">
        <v>107</v>
      </c>
      <c r="B34" s="146">
        <f>+B14/B$19</f>
        <v>0.85220622674455981</v>
      </c>
      <c r="C34" s="146">
        <f t="shared" ref="C34:I35" si="12">+C14/C$19</f>
        <v>0.75469226443474435</v>
      </c>
      <c r="D34" s="146">
        <f t="shared" si="12"/>
        <v>0.85724004985236812</v>
      </c>
      <c r="E34" s="146">
        <f t="shared" si="12"/>
        <v>0.77961646052361555</v>
      </c>
      <c r="F34" s="146">
        <f t="shared" si="12"/>
        <v>0.67114110781350089</v>
      </c>
      <c r="G34" s="146">
        <f t="shared" si="12"/>
        <v>0.62305705646786635</v>
      </c>
      <c r="H34" s="146">
        <f t="shared" si="12"/>
        <v>0.87199748812496458</v>
      </c>
      <c r="I34" s="146">
        <f t="shared" si="12"/>
        <v>0.24656695611409502</v>
      </c>
    </row>
    <row r="35" spans="1:9" x14ac:dyDescent="0.3">
      <c r="A35" s="87" t="s">
        <v>96</v>
      </c>
      <c r="B35" s="85">
        <f>+B15/B$19</f>
        <v>8.164784551926553E-2</v>
      </c>
      <c r="C35" s="85">
        <f t="shared" si="12"/>
        <v>5.6368594757057335E-2</v>
      </c>
      <c r="D35" s="85">
        <f t="shared" si="12"/>
        <v>5.6311635727155078E-2</v>
      </c>
      <c r="E35" s="85">
        <f t="shared" si="12"/>
        <v>6.3745034771802572E-2</v>
      </c>
      <c r="F35" s="85">
        <f t="shared" si="12"/>
        <v>0</v>
      </c>
      <c r="G35" s="85">
        <f t="shared" si="12"/>
        <v>0</v>
      </c>
      <c r="H35" s="85">
        <f t="shared" si="12"/>
        <v>7.6331957230386355E-2</v>
      </c>
      <c r="I35" s="85">
        <f t="shared" si="12"/>
        <v>0.52833039739437349</v>
      </c>
    </row>
    <row r="36" spans="1:9" x14ac:dyDescent="0.3">
      <c r="A36" s="87" t="s">
        <v>97</v>
      </c>
      <c r="B36" s="85">
        <f t="shared" ref="B36:I39" si="13">+B16/B$19</f>
        <v>1.2457638295009796E-2</v>
      </c>
      <c r="C36" s="85">
        <f t="shared" si="13"/>
        <v>0</v>
      </c>
      <c r="D36" s="85">
        <f t="shared" si="13"/>
        <v>0</v>
      </c>
      <c r="E36" s="85">
        <f t="shared" si="13"/>
        <v>0</v>
      </c>
      <c r="F36" s="85">
        <f t="shared" si="13"/>
        <v>0.30520978128804571</v>
      </c>
      <c r="G36" s="85">
        <f t="shared" si="13"/>
        <v>0.35975233085233582</v>
      </c>
      <c r="H36" s="85">
        <f t="shared" si="13"/>
        <v>1.2587415710214803E-2</v>
      </c>
      <c r="I36" s="85">
        <f t="shared" si="13"/>
        <v>9.9396826033237198E-2</v>
      </c>
    </row>
    <row r="37" spans="1:9" ht="15" thickBot="1" x14ac:dyDescent="0.35">
      <c r="A37" s="87" t="s">
        <v>98</v>
      </c>
      <c r="B37" s="85">
        <f t="shared" si="13"/>
        <v>5.3688289441164931E-2</v>
      </c>
      <c r="C37" s="85">
        <f t="shared" si="13"/>
        <v>0.18893914080819826</v>
      </c>
      <c r="D37" s="85">
        <f t="shared" si="13"/>
        <v>8.6448314420476777E-2</v>
      </c>
      <c r="E37" s="85">
        <f t="shared" si="13"/>
        <v>0.15663850470458193</v>
      </c>
      <c r="F37" s="85">
        <f t="shared" si="13"/>
        <v>2.3649110898453375E-2</v>
      </c>
      <c r="G37" s="85">
        <f t="shared" si="13"/>
        <v>1.7190612679797854E-2</v>
      </c>
      <c r="H37" s="85">
        <f t="shared" si="13"/>
        <v>3.9083138934434214E-2</v>
      </c>
      <c r="I37" s="85">
        <f t="shared" si="13"/>
        <v>0.12570582045829434</v>
      </c>
    </row>
    <row r="38" spans="1:9" ht="15" thickBot="1" x14ac:dyDescent="0.35">
      <c r="A38" s="147" t="s">
        <v>111</v>
      </c>
      <c r="B38" s="148">
        <f>+B18/B$19</f>
        <v>0.14779377325544024</v>
      </c>
      <c r="C38" s="148">
        <f t="shared" si="13"/>
        <v>0.24530773556525562</v>
      </c>
      <c r="D38" s="148">
        <f t="shared" si="13"/>
        <v>0.14275995014763185</v>
      </c>
      <c r="E38" s="148">
        <f t="shared" si="13"/>
        <v>0.22038353947638448</v>
      </c>
      <c r="F38" s="148">
        <f t="shared" si="13"/>
        <v>0.32885889218649911</v>
      </c>
      <c r="G38" s="148">
        <f t="shared" si="13"/>
        <v>0.37694294353213365</v>
      </c>
      <c r="H38" s="148">
        <f t="shared" si="13"/>
        <v>0.12800251187503539</v>
      </c>
      <c r="I38" s="148">
        <f t="shared" si="13"/>
        <v>0.75343304388590493</v>
      </c>
    </row>
    <row r="39" spans="1:9" ht="15" thickBot="1" x14ac:dyDescent="0.35">
      <c r="A39" s="149" t="s">
        <v>86</v>
      </c>
      <c r="B39" s="150">
        <f>+B19/B$19</f>
        <v>1</v>
      </c>
      <c r="C39" s="150">
        <f t="shared" si="13"/>
        <v>1</v>
      </c>
      <c r="D39" s="150">
        <f t="shared" si="13"/>
        <v>1</v>
      </c>
      <c r="E39" s="150">
        <f t="shared" si="13"/>
        <v>1</v>
      </c>
      <c r="F39" s="150">
        <f t="shared" si="13"/>
        <v>1</v>
      </c>
      <c r="G39" s="150">
        <f t="shared" si="13"/>
        <v>1</v>
      </c>
      <c r="H39" s="150">
        <f t="shared" si="13"/>
        <v>1</v>
      </c>
      <c r="I39" s="150">
        <f t="shared" si="13"/>
        <v>1</v>
      </c>
    </row>
    <row r="40" spans="1:9" x14ac:dyDescent="0.3">
      <c r="A40" s="28"/>
      <c r="B40" s="28"/>
      <c r="C40" s="28"/>
      <c r="D40" s="28"/>
      <c r="E40" s="28"/>
      <c r="F40" s="28"/>
      <c r="G40" s="28"/>
    </row>
    <row r="41" spans="1:9" x14ac:dyDescent="0.3">
      <c r="A41" s="28" t="s">
        <v>143</v>
      </c>
      <c r="B41" s="28"/>
      <c r="C41" s="28"/>
      <c r="D41" s="28"/>
      <c r="E41" s="28"/>
      <c r="F41" s="28"/>
      <c r="G41" s="28"/>
    </row>
    <row r="42" spans="1:9" x14ac:dyDescent="0.3">
      <c r="A42" s="28" t="s">
        <v>122</v>
      </c>
      <c r="B42" s="28"/>
      <c r="C42" s="28"/>
      <c r="D42" s="28"/>
      <c r="E42" s="28"/>
      <c r="F42" s="28"/>
      <c r="G42" s="28"/>
    </row>
    <row r="43" spans="1:9" x14ac:dyDescent="0.3">
      <c r="A43" s="28" t="s">
        <v>123</v>
      </c>
      <c r="B43" s="28"/>
      <c r="C43" s="28"/>
      <c r="D43" s="28"/>
      <c r="E43" s="28"/>
      <c r="F43" s="28"/>
      <c r="G43" s="28"/>
    </row>
    <row r="44" spans="1:9" x14ac:dyDescent="0.3">
      <c r="A44" s="95">
        <v>41008</v>
      </c>
      <c r="B44" s="28"/>
      <c r="C44" s="28"/>
      <c r="D44" s="28"/>
      <c r="E44" s="28"/>
      <c r="F44" s="28"/>
      <c r="G44" s="28"/>
    </row>
  </sheetData>
  <sortState ref="A5:R19">
    <sortCondition ref="A5:A19"/>
  </sortState>
  <mergeCells count="3">
    <mergeCell ref="A1:I1"/>
    <mergeCell ref="A2:I2"/>
    <mergeCell ref="A24:I24"/>
  </mergeCells>
  <hyperlinks>
    <hyperlink ref="A1:I1" location="CONTENIDO!A1" display="EMPRESAS DE TRANSPORTE AÉREO  COMERCIAL REGIONAL  - COSTOS DE OPERACIÓN POR TIPO DE AERONAVE  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opLeftCell="A22" workbookViewId="0">
      <selection activeCell="A36" sqref="A36:XFD36"/>
    </sheetView>
  </sheetViews>
  <sheetFormatPr baseColWidth="10" defaultRowHeight="14.4" x14ac:dyDescent="0.3"/>
  <cols>
    <col min="1" max="1" width="28.54296875" style="96" customWidth="1"/>
    <col min="2" max="5" width="9" style="96" customWidth="1"/>
    <col min="6" max="6" width="9.7265625" style="96" customWidth="1"/>
    <col min="7" max="7" width="8.81640625" style="96" customWidth="1"/>
    <col min="8" max="10" width="9" style="96" customWidth="1"/>
    <col min="11" max="11" width="10.1796875" style="96" customWidth="1"/>
    <col min="12" max="12" width="9" style="96" customWidth="1"/>
    <col min="13" max="13" width="10" style="96" customWidth="1"/>
    <col min="14" max="14" width="9" style="96" customWidth="1"/>
    <col min="15" max="15" width="8.81640625" style="96" customWidth="1"/>
    <col min="16" max="16" width="9" style="96" customWidth="1"/>
    <col min="17" max="17" width="7.81640625" style="96" customWidth="1"/>
    <col min="18" max="18" width="8.81640625" style="96" customWidth="1"/>
    <col min="19" max="19" width="9" style="28" customWidth="1"/>
    <col min="20" max="20" width="7.81640625" style="28" customWidth="1"/>
    <col min="21" max="21" width="9" style="28" customWidth="1"/>
    <col min="22" max="22" width="10.90625" style="28" customWidth="1"/>
    <col min="23" max="23" width="9" style="28" customWidth="1"/>
    <col min="24" max="24" width="8.6328125" style="28" customWidth="1"/>
    <col min="25" max="26" width="9" style="28" customWidth="1"/>
    <col min="27" max="27" width="7.81640625" style="28" customWidth="1"/>
    <col min="28" max="28" width="10" style="28" customWidth="1"/>
    <col min="29" max="30" width="9" style="28" customWidth="1"/>
    <col min="31" max="31" width="9.6328125" style="28" customWidth="1"/>
    <col min="32" max="34" width="10" style="28" customWidth="1"/>
    <col min="35" max="35" width="7.81640625" style="28" customWidth="1"/>
    <col min="36" max="36" width="8.453125" style="28" customWidth="1"/>
    <col min="37" max="37" width="9.1796875" style="28" customWidth="1"/>
    <col min="38" max="38" width="7.81640625" style="28" customWidth="1"/>
    <col min="39" max="39" width="10.1796875" style="28" customWidth="1"/>
    <col min="40" max="40" width="10" style="28" customWidth="1"/>
    <col min="41" max="41" width="12.6328125" style="28" customWidth="1"/>
    <col min="42" max="16384" width="10.90625" style="28"/>
  </cols>
  <sheetData>
    <row r="1" spans="1:41" x14ac:dyDescent="0.3">
      <c r="A1" s="214" t="s">
        <v>164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</row>
    <row r="2" spans="1:41" ht="15" thickBot="1" x14ac:dyDescent="0.35"/>
    <row r="3" spans="1:41" s="119" customFormat="1" ht="19.8" customHeight="1" thickBot="1" x14ac:dyDescent="0.35">
      <c r="A3" s="45" t="s">
        <v>0</v>
      </c>
      <c r="B3" s="45" t="s">
        <v>30</v>
      </c>
      <c r="C3" s="45" t="s">
        <v>46</v>
      </c>
      <c r="D3" s="45" t="s">
        <v>47</v>
      </c>
      <c r="E3" s="45" t="s">
        <v>39</v>
      </c>
      <c r="F3" s="45" t="s">
        <v>66</v>
      </c>
      <c r="G3" s="45" t="s">
        <v>63</v>
      </c>
      <c r="H3" s="45" t="s">
        <v>80</v>
      </c>
      <c r="I3" s="45" t="s">
        <v>36</v>
      </c>
      <c r="J3" s="45" t="s">
        <v>72</v>
      </c>
      <c r="K3" s="45" t="s">
        <v>31</v>
      </c>
      <c r="L3" s="45" t="s">
        <v>6</v>
      </c>
      <c r="M3" s="45" t="s">
        <v>32</v>
      </c>
      <c r="N3" s="45" t="s">
        <v>76</v>
      </c>
      <c r="O3" s="45" t="s">
        <v>5</v>
      </c>
      <c r="P3" s="45" t="s">
        <v>57</v>
      </c>
      <c r="Q3" s="45" t="s">
        <v>41</v>
      </c>
      <c r="R3" s="45" t="s">
        <v>52</v>
      </c>
      <c r="S3" s="45" t="s">
        <v>42</v>
      </c>
      <c r="T3" s="45" t="s">
        <v>75</v>
      </c>
      <c r="U3" s="45" t="s">
        <v>35</v>
      </c>
      <c r="V3" s="45" t="s">
        <v>43</v>
      </c>
      <c r="W3" s="45" t="s">
        <v>71</v>
      </c>
      <c r="X3" s="45" t="s">
        <v>59</v>
      </c>
      <c r="Y3" s="45" t="s">
        <v>81</v>
      </c>
      <c r="Z3" s="45" t="s">
        <v>60</v>
      </c>
      <c r="AA3" s="45" t="s">
        <v>61</v>
      </c>
      <c r="AB3" s="45" t="s">
        <v>8</v>
      </c>
      <c r="AC3" s="45" t="s">
        <v>82</v>
      </c>
      <c r="AD3" s="45" t="s">
        <v>73</v>
      </c>
      <c r="AE3" s="45" t="s">
        <v>69</v>
      </c>
      <c r="AF3" s="45" t="s">
        <v>12</v>
      </c>
      <c r="AG3" s="45" t="s">
        <v>37</v>
      </c>
      <c r="AH3" s="45" t="s">
        <v>70</v>
      </c>
      <c r="AI3" s="45" t="s">
        <v>62</v>
      </c>
      <c r="AJ3" s="45" t="s">
        <v>53</v>
      </c>
      <c r="AK3" s="45" t="s">
        <v>54</v>
      </c>
      <c r="AL3" s="45" t="s">
        <v>55</v>
      </c>
      <c r="AM3" s="45" t="s">
        <v>56</v>
      </c>
      <c r="AN3" s="45" t="s">
        <v>84</v>
      </c>
      <c r="AO3" s="45" t="s">
        <v>67</v>
      </c>
    </row>
    <row r="4" spans="1:41" ht="19.8" customHeight="1" x14ac:dyDescent="0.3">
      <c r="A4" s="48" t="s">
        <v>87</v>
      </c>
      <c r="B4" s="49">
        <v>984505</v>
      </c>
      <c r="C4" s="49">
        <v>122760</v>
      </c>
      <c r="D4" s="49">
        <v>676464</v>
      </c>
      <c r="E4" s="49">
        <v>482152</v>
      </c>
      <c r="F4" s="49">
        <v>474420.5</v>
      </c>
      <c r="G4" s="49">
        <v>803702.81818181823</v>
      </c>
      <c r="H4" s="49">
        <v>185636</v>
      </c>
      <c r="I4" s="49">
        <v>588931</v>
      </c>
      <c r="J4" s="49">
        <v>2242068.5</v>
      </c>
      <c r="K4" s="49">
        <v>990398</v>
      </c>
      <c r="L4" s="49">
        <v>1261690.5</v>
      </c>
      <c r="M4" s="49">
        <v>1023961.5</v>
      </c>
      <c r="N4" s="49">
        <v>791352</v>
      </c>
      <c r="O4" s="49">
        <v>754297.75</v>
      </c>
      <c r="P4" s="49">
        <v>210000</v>
      </c>
      <c r="Q4" s="49">
        <v>5067</v>
      </c>
      <c r="R4" s="49">
        <v>108476.28571428571</v>
      </c>
      <c r="S4" s="120">
        <v>401221.57142857142</v>
      </c>
      <c r="T4" s="120">
        <v>2730</v>
      </c>
      <c r="U4" s="120">
        <v>316000</v>
      </c>
      <c r="V4" s="120">
        <v>214137</v>
      </c>
      <c r="W4" s="120">
        <v>311535</v>
      </c>
      <c r="X4" s="120">
        <v>94418.5</v>
      </c>
      <c r="Y4" s="120">
        <v>232500</v>
      </c>
      <c r="Z4" s="120">
        <v>127871.5</v>
      </c>
      <c r="AA4" s="120">
        <v>56223</v>
      </c>
      <c r="AB4" s="120">
        <v>2586052</v>
      </c>
      <c r="AC4" s="120">
        <v>1291493</v>
      </c>
      <c r="AD4" s="120">
        <v>354000</v>
      </c>
      <c r="AE4" s="120">
        <v>264714.66666666669</v>
      </c>
      <c r="AF4" s="120">
        <v>2140508</v>
      </c>
      <c r="AG4" s="120">
        <v>2324827</v>
      </c>
      <c r="AH4" s="120">
        <v>1713913</v>
      </c>
      <c r="AI4" s="120">
        <v>15563</v>
      </c>
      <c r="AJ4" s="120">
        <v>127678.25</v>
      </c>
      <c r="AK4" s="120">
        <v>233516</v>
      </c>
      <c r="AL4" s="120">
        <v>144493</v>
      </c>
      <c r="AM4" s="120">
        <v>229202.42857142858</v>
      </c>
      <c r="AN4" s="120">
        <v>0</v>
      </c>
      <c r="AO4" s="132">
        <v>348435.33333333331</v>
      </c>
    </row>
    <row r="5" spans="1:41" ht="19.8" customHeight="1" x14ac:dyDescent="0.3">
      <c r="A5" s="87" t="s">
        <v>89</v>
      </c>
      <c r="B5" s="54">
        <v>486790</v>
      </c>
      <c r="C5" s="54">
        <v>23732</v>
      </c>
      <c r="D5" s="54">
        <v>779077</v>
      </c>
      <c r="E5" s="54">
        <v>273182</v>
      </c>
      <c r="F5" s="54">
        <v>32962.5</v>
      </c>
      <c r="G5" s="54">
        <v>258175.36363636365</v>
      </c>
      <c r="H5" s="54">
        <v>52292</v>
      </c>
      <c r="I5" s="54">
        <v>82324</v>
      </c>
      <c r="J5" s="54">
        <v>234702.5</v>
      </c>
      <c r="K5" s="54">
        <v>180234.33333333334</v>
      </c>
      <c r="L5" s="54">
        <v>196817.5</v>
      </c>
      <c r="M5" s="54">
        <v>414361</v>
      </c>
      <c r="N5" s="54">
        <v>277117</v>
      </c>
      <c r="O5" s="54">
        <v>129935.75</v>
      </c>
      <c r="P5" s="54">
        <v>83500</v>
      </c>
      <c r="Q5" s="54">
        <v>5067</v>
      </c>
      <c r="R5" s="54">
        <v>36121.571428571428</v>
      </c>
      <c r="S5" s="56">
        <v>20504.285714285714</v>
      </c>
      <c r="T5" s="56">
        <v>22448</v>
      </c>
      <c r="U5" s="56">
        <v>91123</v>
      </c>
      <c r="V5" s="56">
        <v>33988</v>
      </c>
      <c r="W5" s="56">
        <v>202807.5</v>
      </c>
      <c r="X5" s="56">
        <v>36527.5</v>
      </c>
      <c r="Y5" s="56">
        <v>84751</v>
      </c>
      <c r="Z5" s="56">
        <v>125057.5</v>
      </c>
      <c r="AA5" s="56">
        <v>12861</v>
      </c>
      <c r="AB5" s="56">
        <v>254324</v>
      </c>
      <c r="AC5" s="56">
        <v>399459</v>
      </c>
      <c r="AD5" s="56">
        <v>388000</v>
      </c>
      <c r="AE5" s="56">
        <v>121318</v>
      </c>
      <c r="AF5" s="56">
        <v>265489</v>
      </c>
      <c r="AG5" s="56">
        <v>771435</v>
      </c>
      <c r="AH5" s="56">
        <v>439997</v>
      </c>
      <c r="AI5" s="56">
        <v>9376</v>
      </c>
      <c r="AJ5" s="56">
        <v>47301</v>
      </c>
      <c r="AK5" s="56">
        <v>111663.5</v>
      </c>
      <c r="AL5" s="56">
        <v>100391</v>
      </c>
      <c r="AM5" s="56">
        <v>2167928.5714285714</v>
      </c>
      <c r="AN5" s="56">
        <v>25209667</v>
      </c>
      <c r="AO5" s="59">
        <v>111855.33333333333</v>
      </c>
    </row>
    <row r="6" spans="1:41" ht="19.8" customHeight="1" x14ac:dyDescent="0.3">
      <c r="A6" s="87" t="s">
        <v>90</v>
      </c>
      <c r="B6" s="54">
        <v>45288</v>
      </c>
      <c r="C6" s="54">
        <v>0</v>
      </c>
      <c r="D6" s="54">
        <v>73814</v>
      </c>
      <c r="E6" s="54">
        <v>191505</v>
      </c>
      <c r="F6" s="54">
        <v>109398.5</v>
      </c>
      <c r="G6" s="54">
        <v>30814.18181818182</v>
      </c>
      <c r="H6" s="54">
        <v>369673</v>
      </c>
      <c r="I6" s="54">
        <v>133577</v>
      </c>
      <c r="J6" s="54">
        <v>194380</v>
      </c>
      <c r="K6" s="54">
        <v>57778.333333333336</v>
      </c>
      <c r="L6" s="54">
        <v>211316.5</v>
      </c>
      <c r="M6" s="54">
        <v>42321.5</v>
      </c>
      <c r="N6" s="54">
        <v>51403</v>
      </c>
      <c r="O6" s="54">
        <v>200974</v>
      </c>
      <c r="P6" s="54">
        <v>25000</v>
      </c>
      <c r="Q6" s="54">
        <v>15485</v>
      </c>
      <c r="R6" s="54">
        <v>29608</v>
      </c>
      <c r="S6" s="56">
        <v>288041.85714285716</v>
      </c>
      <c r="T6" s="56">
        <v>10632</v>
      </c>
      <c r="U6" s="56">
        <v>69600</v>
      </c>
      <c r="V6" s="56">
        <v>36511</v>
      </c>
      <c r="W6" s="56">
        <v>34879.5</v>
      </c>
      <c r="X6" s="56">
        <v>16536</v>
      </c>
      <c r="Y6" s="56">
        <v>34125</v>
      </c>
      <c r="Z6" s="56">
        <v>21592.5</v>
      </c>
      <c r="AA6" s="56">
        <v>12347</v>
      </c>
      <c r="AB6" s="56">
        <v>449503</v>
      </c>
      <c r="AC6" s="56">
        <v>38957</v>
      </c>
      <c r="AD6" s="56">
        <v>79000</v>
      </c>
      <c r="AE6" s="56">
        <v>36046.666666666664</v>
      </c>
      <c r="AF6" s="56">
        <v>139109</v>
      </c>
      <c r="AG6" s="56">
        <v>1261247</v>
      </c>
      <c r="AH6" s="56">
        <v>53510</v>
      </c>
      <c r="AI6" s="56">
        <v>7650</v>
      </c>
      <c r="AJ6" s="56">
        <v>41956.75</v>
      </c>
      <c r="AK6" s="56">
        <v>67986.75</v>
      </c>
      <c r="AL6" s="56">
        <v>77148.5</v>
      </c>
      <c r="AM6" s="56">
        <v>49604.857142857145</v>
      </c>
      <c r="AN6" s="56">
        <v>33200</v>
      </c>
      <c r="AO6" s="59">
        <v>29790.666666666668</v>
      </c>
    </row>
    <row r="7" spans="1:41" ht="19.8" customHeight="1" x14ac:dyDescent="0.3">
      <c r="A7" s="87" t="s">
        <v>91</v>
      </c>
      <c r="B7" s="54">
        <v>634050</v>
      </c>
      <c r="C7" s="54">
        <v>109712</v>
      </c>
      <c r="D7" s="54">
        <v>627609</v>
      </c>
      <c r="E7" s="54">
        <v>1149909</v>
      </c>
      <c r="F7" s="54">
        <v>216275.5</v>
      </c>
      <c r="G7" s="54">
        <v>588625.54545454541</v>
      </c>
      <c r="H7" s="54">
        <v>36176</v>
      </c>
      <c r="I7" s="54">
        <v>975862</v>
      </c>
      <c r="J7" s="54">
        <v>1083597.5</v>
      </c>
      <c r="K7" s="54">
        <v>961962.33333333337</v>
      </c>
      <c r="L7" s="54">
        <v>1231350</v>
      </c>
      <c r="M7" s="54">
        <v>2235304.5</v>
      </c>
      <c r="N7" s="54">
        <v>346304</v>
      </c>
      <c r="O7" s="54">
        <v>403727.5</v>
      </c>
      <c r="P7" s="54">
        <v>340000</v>
      </c>
      <c r="Q7" s="54">
        <v>55584</v>
      </c>
      <c r="R7" s="54">
        <v>113376.71428571429</v>
      </c>
      <c r="S7" s="56">
        <v>179424.57142857142</v>
      </c>
      <c r="T7" s="56">
        <v>20250</v>
      </c>
      <c r="U7" s="56">
        <v>668920</v>
      </c>
      <c r="V7" s="56">
        <v>117859</v>
      </c>
      <c r="W7" s="56">
        <v>298844</v>
      </c>
      <c r="X7" s="56">
        <v>50894.5</v>
      </c>
      <c r="Y7" s="56">
        <v>218277</v>
      </c>
      <c r="Z7" s="56">
        <v>172399.5</v>
      </c>
      <c r="AA7" s="56">
        <v>68214</v>
      </c>
      <c r="AB7" s="56">
        <v>766446</v>
      </c>
      <c r="AC7" s="56">
        <v>2187833</v>
      </c>
      <c r="AD7" s="56">
        <v>481000</v>
      </c>
      <c r="AE7" s="56">
        <v>93826.333333333328</v>
      </c>
      <c r="AF7" s="56">
        <v>2490858</v>
      </c>
      <c r="AG7" s="56">
        <v>4845358</v>
      </c>
      <c r="AH7" s="56">
        <v>4652310</v>
      </c>
      <c r="AI7" s="56">
        <v>25926</v>
      </c>
      <c r="AJ7" s="56">
        <v>92165.25</v>
      </c>
      <c r="AK7" s="56">
        <v>175079.25</v>
      </c>
      <c r="AL7" s="56">
        <v>143011.5</v>
      </c>
      <c r="AM7" s="56">
        <v>175772.42857142858</v>
      </c>
      <c r="AN7" s="56">
        <v>7295459</v>
      </c>
      <c r="AO7" s="59">
        <v>286559.66666666669</v>
      </c>
    </row>
    <row r="8" spans="1:41" ht="19.8" customHeight="1" x14ac:dyDescent="0.3">
      <c r="A8" s="87" t="s">
        <v>92</v>
      </c>
      <c r="B8" s="54">
        <v>4122</v>
      </c>
      <c r="C8" s="54">
        <v>0</v>
      </c>
      <c r="D8" s="54">
        <v>0</v>
      </c>
      <c r="E8" s="54">
        <v>5321</v>
      </c>
      <c r="F8" s="54">
        <v>0</v>
      </c>
      <c r="G8" s="54">
        <v>93955.272727272721</v>
      </c>
      <c r="H8" s="54">
        <v>0</v>
      </c>
      <c r="I8" s="54">
        <v>56843</v>
      </c>
      <c r="J8" s="54">
        <v>76697.5</v>
      </c>
      <c r="K8" s="54">
        <v>0</v>
      </c>
      <c r="L8" s="54">
        <v>120667.5</v>
      </c>
      <c r="M8" s="54">
        <v>2121.5</v>
      </c>
      <c r="N8" s="54">
        <v>29019</v>
      </c>
      <c r="O8" s="54">
        <v>17454.75</v>
      </c>
      <c r="P8" s="54">
        <v>0</v>
      </c>
      <c r="Q8" s="54">
        <v>0</v>
      </c>
      <c r="R8" s="54">
        <v>3242</v>
      </c>
      <c r="S8" s="56">
        <v>2478.7142857142858</v>
      </c>
      <c r="T8" s="56">
        <v>0</v>
      </c>
      <c r="U8" s="56">
        <v>27000</v>
      </c>
      <c r="V8" s="56">
        <v>2022</v>
      </c>
      <c r="W8" s="56">
        <v>2719</v>
      </c>
      <c r="X8" s="56">
        <v>4703</v>
      </c>
      <c r="Y8" s="56">
        <v>0</v>
      </c>
      <c r="Z8" s="56">
        <v>211</v>
      </c>
      <c r="AA8" s="56">
        <v>0</v>
      </c>
      <c r="AB8" s="56">
        <v>72157</v>
      </c>
      <c r="AC8" s="56">
        <v>0</v>
      </c>
      <c r="AD8" s="56">
        <v>0</v>
      </c>
      <c r="AE8" s="56">
        <v>0</v>
      </c>
      <c r="AF8" s="56">
        <v>0</v>
      </c>
      <c r="AG8" s="56">
        <v>31321</v>
      </c>
      <c r="AH8" s="56">
        <v>65</v>
      </c>
      <c r="AI8" s="56">
        <v>0</v>
      </c>
      <c r="AJ8" s="56">
        <v>17155</v>
      </c>
      <c r="AK8" s="56">
        <v>22122.5</v>
      </c>
      <c r="AL8" s="56">
        <v>27956</v>
      </c>
      <c r="AM8" s="56">
        <v>12569.428571428571</v>
      </c>
      <c r="AN8" s="56">
        <v>0</v>
      </c>
      <c r="AO8" s="59">
        <v>8915</v>
      </c>
    </row>
    <row r="9" spans="1:41" ht="19.8" customHeight="1" x14ac:dyDescent="0.3">
      <c r="A9" s="87" t="s">
        <v>93</v>
      </c>
      <c r="B9" s="54">
        <v>81071</v>
      </c>
      <c r="C9" s="54">
        <v>37149</v>
      </c>
      <c r="D9" s="54">
        <v>960239</v>
      </c>
      <c r="E9" s="54">
        <v>3291518</v>
      </c>
      <c r="F9" s="54">
        <v>127944.5</v>
      </c>
      <c r="G9" s="54">
        <v>732671.36363636365</v>
      </c>
      <c r="H9" s="54">
        <v>115368</v>
      </c>
      <c r="I9" s="54">
        <v>499530</v>
      </c>
      <c r="J9" s="54">
        <v>1864470</v>
      </c>
      <c r="K9" s="54">
        <v>683196.33333333337</v>
      </c>
      <c r="L9" s="54">
        <v>793315</v>
      </c>
      <c r="M9" s="54">
        <v>604811</v>
      </c>
      <c r="N9" s="54">
        <v>683173</v>
      </c>
      <c r="O9" s="54">
        <v>834790.75</v>
      </c>
      <c r="P9" s="54">
        <v>860000</v>
      </c>
      <c r="Q9" s="54">
        <v>150000</v>
      </c>
      <c r="R9" s="54">
        <v>115470.28571428571</v>
      </c>
      <c r="S9" s="56">
        <v>112900.57142857143</v>
      </c>
      <c r="T9" s="56">
        <v>55530</v>
      </c>
      <c r="U9" s="56">
        <v>313200</v>
      </c>
      <c r="V9" s="56">
        <v>180742</v>
      </c>
      <c r="W9" s="56">
        <v>371000.5</v>
      </c>
      <c r="X9" s="56">
        <v>95316.5</v>
      </c>
      <c r="Y9" s="56">
        <v>459294</v>
      </c>
      <c r="Z9" s="56">
        <v>271600</v>
      </c>
      <c r="AA9" s="56">
        <v>144103</v>
      </c>
      <c r="AB9" s="56">
        <v>1169332</v>
      </c>
      <c r="AC9" s="56">
        <v>717600</v>
      </c>
      <c r="AD9" s="56">
        <v>313000</v>
      </c>
      <c r="AE9" s="56">
        <v>219173.33333333334</v>
      </c>
      <c r="AF9" s="56">
        <v>1421909</v>
      </c>
      <c r="AG9" s="56">
        <v>1558089</v>
      </c>
      <c r="AH9" s="56">
        <v>2063100</v>
      </c>
      <c r="AI9" s="56">
        <v>100000</v>
      </c>
      <c r="AJ9" s="56">
        <v>133583.25</v>
      </c>
      <c r="AK9" s="56">
        <v>303330</v>
      </c>
      <c r="AL9" s="56">
        <v>168365</v>
      </c>
      <c r="AM9" s="56">
        <v>279071.57142857142</v>
      </c>
      <c r="AN9" s="56">
        <v>847031</v>
      </c>
      <c r="AO9" s="59">
        <v>178208.33333333334</v>
      </c>
    </row>
    <row r="10" spans="1:41" ht="19.8" customHeight="1" x14ac:dyDescent="0.3">
      <c r="A10" s="87" t="s">
        <v>94</v>
      </c>
      <c r="B10" s="54">
        <v>503787</v>
      </c>
      <c r="C10" s="54">
        <v>180667</v>
      </c>
      <c r="D10" s="54">
        <v>0</v>
      </c>
      <c r="E10" s="54">
        <v>0</v>
      </c>
      <c r="F10" s="54">
        <v>72767</v>
      </c>
      <c r="G10" s="54">
        <v>146708.09090909091</v>
      </c>
      <c r="H10" s="54">
        <v>0</v>
      </c>
      <c r="I10" s="54">
        <v>0</v>
      </c>
      <c r="J10" s="54">
        <v>234375</v>
      </c>
      <c r="K10" s="54">
        <v>13015.666666666666</v>
      </c>
      <c r="L10" s="54">
        <v>0</v>
      </c>
      <c r="M10" s="54">
        <v>41304</v>
      </c>
      <c r="N10" s="54">
        <v>0</v>
      </c>
      <c r="O10" s="54">
        <v>35000</v>
      </c>
      <c r="P10" s="54">
        <v>0</v>
      </c>
      <c r="Q10" s="54">
        <v>1802</v>
      </c>
      <c r="R10" s="54">
        <v>9247.8571428571431</v>
      </c>
      <c r="S10" s="56">
        <v>9521.2857142857138</v>
      </c>
      <c r="T10" s="56">
        <v>0</v>
      </c>
      <c r="U10" s="56">
        <v>130870</v>
      </c>
      <c r="V10" s="56">
        <v>2801</v>
      </c>
      <c r="W10" s="56">
        <v>8757</v>
      </c>
      <c r="X10" s="56">
        <v>17692.5</v>
      </c>
      <c r="Y10" s="56">
        <v>0</v>
      </c>
      <c r="Z10" s="56">
        <v>734</v>
      </c>
      <c r="AA10" s="56">
        <v>4269</v>
      </c>
      <c r="AB10" s="56">
        <v>0</v>
      </c>
      <c r="AC10" s="56">
        <v>0</v>
      </c>
      <c r="AD10" s="56">
        <v>65000</v>
      </c>
      <c r="AE10" s="56">
        <v>6576.666666666667</v>
      </c>
      <c r="AF10" s="56">
        <v>0</v>
      </c>
      <c r="AG10" s="56">
        <v>0</v>
      </c>
      <c r="AH10" s="56">
        <v>0</v>
      </c>
      <c r="AI10" s="56">
        <v>563</v>
      </c>
      <c r="AJ10" s="56">
        <v>14640.75</v>
      </c>
      <c r="AK10" s="56">
        <v>58785.5</v>
      </c>
      <c r="AL10" s="56">
        <v>13068</v>
      </c>
      <c r="AM10" s="56">
        <v>34560</v>
      </c>
      <c r="AN10" s="56">
        <v>5317902</v>
      </c>
      <c r="AO10" s="59">
        <v>14696</v>
      </c>
    </row>
    <row r="11" spans="1:41" ht="19.8" customHeight="1" thickBot="1" x14ac:dyDescent="0.35">
      <c r="A11" s="87" t="s">
        <v>95</v>
      </c>
      <c r="B11" s="54">
        <v>991140</v>
      </c>
      <c r="C11" s="54">
        <v>0</v>
      </c>
      <c r="D11" s="54">
        <v>159507</v>
      </c>
      <c r="E11" s="54">
        <v>3022075</v>
      </c>
      <c r="F11" s="54">
        <v>86821.5</v>
      </c>
      <c r="G11" s="54">
        <v>446838</v>
      </c>
      <c r="H11" s="54">
        <v>0</v>
      </c>
      <c r="I11" s="54">
        <v>1226873</v>
      </c>
      <c r="J11" s="54">
        <v>0</v>
      </c>
      <c r="K11" s="54">
        <v>974017.33333333337</v>
      </c>
      <c r="L11" s="54">
        <v>3520448.5</v>
      </c>
      <c r="M11" s="54">
        <v>3707732.5</v>
      </c>
      <c r="N11" s="54">
        <v>2220339</v>
      </c>
      <c r="O11" s="54">
        <v>3445702.75</v>
      </c>
      <c r="P11" s="54">
        <v>0</v>
      </c>
      <c r="Q11" s="54">
        <v>4054</v>
      </c>
      <c r="R11" s="54">
        <v>6823.1428571428569</v>
      </c>
      <c r="S11" s="56">
        <v>279670</v>
      </c>
      <c r="T11" s="56">
        <v>62500</v>
      </c>
      <c r="U11" s="56">
        <v>270800</v>
      </c>
      <c r="V11" s="56">
        <v>404639</v>
      </c>
      <c r="W11" s="56">
        <v>0</v>
      </c>
      <c r="X11" s="56">
        <v>29762</v>
      </c>
      <c r="Y11" s="56">
        <v>143143.5</v>
      </c>
      <c r="Z11" s="56">
        <v>1651.5</v>
      </c>
      <c r="AA11" s="56">
        <v>10186</v>
      </c>
      <c r="AB11" s="56">
        <v>5714193</v>
      </c>
      <c r="AC11" s="56">
        <v>3025358</v>
      </c>
      <c r="AD11" s="56">
        <v>0</v>
      </c>
      <c r="AE11" s="56">
        <v>102564</v>
      </c>
      <c r="AF11" s="56">
        <v>468506</v>
      </c>
      <c r="AG11" s="56">
        <v>15775216</v>
      </c>
      <c r="AH11" s="56">
        <v>4468481</v>
      </c>
      <c r="AI11" s="56">
        <v>3375</v>
      </c>
      <c r="AJ11" s="56">
        <v>15000</v>
      </c>
      <c r="AK11" s="56">
        <v>9525</v>
      </c>
      <c r="AL11" s="56">
        <v>40000</v>
      </c>
      <c r="AM11" s="56">
        <v>262203.71428571426</v>
      </c>
      <c r="AN11" s="56">
        <v>0</v>
      </c>
      <c r="AO11" s="59">
        <v>72732</v>
      </c>
    </row>
    <row r="12" spans="1:41" ht="15" thickBot="1" x14ac:dyDescent="0.35">
      <c r="A12" s="145" t="s">
        <v>107</v>
      </c>
      <c r="B12" s="151">
        <f>SUM(B4:B11)</f>
        <v>3730753</v>
      </c>
      <c r="C12" s="151">
        <f t="shared" ref="C12:AO12" si="0">SUM(C4:C11)</f>
        <v>474020</v>
      </c>
      <c r="D12" s="151">
        <f t="shared" si="0"/>
        <v>3276710</v>
      </c>
      <c r="E12" s="151">
        <f t="shared" si="0"/>
        <v>8415662</v>
      </c>
      <c r="F12" s="151">
        <f t="shared" si="0"/>
        <v>1120590</v>
      </c>
      <c r="G12" s="151">
        <f t="shared" si="0"/>
        <v>3101490.6363636362</v>
      </c>
      <c r="H12" s="151">
        <f t="shared" si="0"/>
        <v>759145</v>
      </c>
      <c r="I12" s="151">
        <f t="shared" si="0"/>
        <v>3563940</v>
      </c>
      <c r="J12" s="151">
        <f t="shared" si="0"/>
        <v>5930291</v>
      </c>
      <c r="K12" s="151">
        <f t="shared" si="0"/>
        <v>3860602.3333333335</v>
      </c>
      <c r="L12" s="151">
        <f t="shared" si="0"/>
        <v>7335605.5</v>
      </c>
      <c r="M12" s="151">
        <f t="shared" si="0"/>
        <v>8071917.5</v>
      </c>
      <c r="N12" s="151">
        <f t="shared" si="0"/>
        <v>4398707</v>
      </c>
      <c r="O12" s="151">
        <f t="shared" si="0"/>
        <v>5821883.25</v>
      </c>
      <c r="P12" s="151">
        <f t="shared" si="0"/>
        <v>1518500</v>
      </c>
      <c r="Q12" s="151">
        <f t="shared" si="0"/>
        <v>237059</v>
      </c>
      <c r="R12" s="151">
        <f t="shared" si="0"/>
        <v>422365.85714285716</v>
      </c>
      <c r="S12" s="151">
        <f t="shared" si="0"/>
        <v>1293762.8571428573</v>
      </c>
      <c r="T12" s="151">
        <f t="shared" si="0"/>
        <v>174090</v>
      </c>
      <c r="U12" s="151">
        <f t="shared" si="0"/>
        <v>1887513</v>
      </c>
      <c r="V12" s="151">
        <f t="shared" si="0"/>
        <v>992699</v>
      </c>
      <c r="W12" s="151">
        <f t="shared" si="0"/>
        <v>1230542.5</v>
      </c>
      <c r="X12" s="151">
        <f t="shared" si="0"/>
        <v>345850.5</v>
      </c>
      <c r="Y12" s="151">
        <f t="shared" si="0"/>
        <v>1172090.5</v>
      </c>
      <c r="Z12" s="151">
        <f t="shared" si="0"/>
        <v>721117.5</v>
      </c>
      <c r="AA12" s="151">
        <f t="shared" si="0"/>
        <v>308203</v>
      </c>
      <c r="AB12" s="151">
        <f t="shared" si="0"/>
        <v>11012007</v>
      </c>
      <c r="AC12" s="151">
        <f t="shared" si="0"/>
        <v>7660700</v>
      </c>
      <c r="AD12" s="151">
        <f t="shared" si="0"/>
        <v>1680000</v>
      </c>
      <c r="AE12" s="151">
        <f t="shared" si="0"/>
        <v>844219.66666666663</v>
      </c>
      <c r="AF12" s="151">
        <f t="shared" si="0"/>
        <v>6926379</v>
      </c>
      <c r="AG12" s="151">
        <f t="shared" si="0"/>
        <v>26567493</v>
      </c>
      <c r="AH12" s="151">
        <f t="shared" si="0"/>
        <v>13391376</v>
      </c>
      <c r="AI12" s="151">
        <f t="shared" si="0"/>
        <v>162453</v>
      </c>
      <c r="AJ12" s="151">
        <f t="shared" si="0"/>
        <v>489480.25</v>
      </c>
      <c r="AK12" s="151">
        <f t="shared" si="0"/>
        <v>982008.5</v>
      </c>
      <c r="AL12" s="151">
        <f t="shared" si="0"/>
        <v>714433</v>
      </c>
      <c r="AM12" s="151">
        <f t="shared" si="0"/>
        <v>3210913</v>
      </c>
      <c r="AN12" s="151">
        <f t="shared" si="0"/>
        <v>38703259</v>
      </c>
      <c r="AO12" s="151">
        <f t="shared" si="0"/>
        <v>1051192.3333333335</v>
      </c>
    </row>
    <row r="13" spans="1:41" ht="19.8" customHeight="1" x14ac:dyDescent="0.3">
      <c r="A13" s="87" t="s">
        <v>96</v>
      </c>
      <c r="B13" s="54">
        <v>2647252</v>
      </c>
      <c r="C13" s="54">
        <v>2885606</v>
      </c>
      <c r="D13" s="54">
        <v>1289430</v>
      </c>
      <c r="E13" s="54">
        <v>548388</v>
      </c>
      <c r="F13" s="54">
        <v>467516</v>
      </c>
      <c r="G13" s="54">
        <v>781346.90909090906</v>
      </c>
      <c r="H13" s="54">
        <v>596307</v>
      </c>
      <c r="I13" s="54">
        <v>583336</v>
      </c>
      <c r="J13" s="54">
        <v>70603.5</v>
      </c>
      <c r="K13" s="54">
        <v>586883</v>
      </c>
      <c r="L13" s="54">
        <v>568614.5</v>
      </c>
      <c r="M13" s="54">
        <v>1961968.5</v>
      </c>
      <c r="N13" s="54">
        <v>78583</v>
      </c>
      <c r="O13" s="54">
        <v>382782.75</v>
      </c>
      <c r="P13" s="54">
        <v>151000</v>
      </c>
      <c r="Q13" s="54">
        <v>3111</v>
      </c>
      <c r="R13" s="54">
        <v>135822.28571428571</v>
      </c>
      <c r="S13" s="56">
        <v>75086.28571428571</v>
      </c>
      <c r="T13" s="56">
        <v>84155</v>
      </c>
      <c r="U13" s="56">
        <v>110817</v>
      </c>
      <c r="V13" s="56">
        <v>116980</v>
      </c>
      <c r="W13" s="56">
        <v>159511</v>
      </c>
      <c r="X13" s="56">
        <v>38154.5</v>
      </c>
      <c r="Y13" s="56">
        <v>129520.5</v>
      </c>
      <c r="Z13" s="56">
        <v>148220.5</v>
      </c>
      <c r="AA13" s="56">
        <v>7904</v>
      </c>
      <c r="AB13" s="56">
        <v>1151368</v>
      </c>
      <c r="AC13" s="56">
        <v>1454359</v>
      </c>
      <c r="AD13" s="56">
        <v>212000</v>
      </c>
      <c r="AE13" s="56">
        <v>314026.33333333331</v>
      </c>
      <c r="AF13" s="56">
        <v>3458851</v>
      </c>
      <c r="AG13" s="56">
        <v>5619038</v>
      </c>
      <c r="AH13" s="56">
        <v>1431985</v>
      </c>
      <c r="AI13" s="56">
        <v>2906</v>
      </c>
      <c r="AJ13" s="56">
        <v>38440</v>
      </c>
      <c r="AK13" s="56">
        <v>125556.75</v>
      </c>
      <c r="AL13" s="56">
        <v>52655.5</v>
      </c>
      <c r="AM13" s="56">
        <v>150105.42857142858</v>
      </c>
      <c r="AN13" s="56">
        <v>3960</v>
      </c>
      <c r="AO13" s="59">
        <v>1069370</v>
      </c>
    </row>
    <row r="14" spans="1:41" ht="19.8" customHeight="1" x14ac:dyDescent="0.3">
      <c r="A14" s="87" t="s">
        <v>97</v>
      </c>
      <c r="B14" s="54">
        <v>97498</v>
      </c>
      <c r="C14" s="54">
        <v>0</v>
      </c>
      <c r="D14" s="54">
        <v>0</v>
      </c>
      <c r="E14" s="54">
        <v>431114</v>
      </c>
      <c r="F14" s="54">
        <v>657929</v>
      </c>
      <c r="G14" s="54">
        <v>236938.18181818182</v>
      </c>
      <c r="H14" s="54">
        <v>0</v>
      </c>
      <c r="I14" s="54">
        <v>76215</v>
      </c>
      <c r="J14" s="54">
        <v>92502</v>
      </c>
      <c r="K14" s="54">
        <v>438619.33333333331</v>
      </c>
      <c r="L14" s="54">
        <v>46533.5</v>
      </c>
      <c r="M14" s="54">
        <v>47962</v>
      </c>
      <c r="N14" s="54">
        <v>28089</v>
      </c>
      <c r="O14" s="54">
        <v>53367</v>
      </c>
      <c r="P14" s="54">
        <v>0</v>
      </c>
      <c r="Q14" s="54">
        <v>0</v>
      </c>
      <c r="R14" s="54">
        <v>11567.857142857143</v>
      </c>
      <c r="S14" s="56">
        <v>12253.428571428571</v>
      </c>
      <c r="T14" s="56">
        <v>0</v>
      </c>
      <c r="U14" s="56">
        <v>0</v>
      </c>
      <c r="V14" s="56">
        <v>7198</v>
      </c>
      <c r="W14" s="56">
        <v>0</v>
      </c>
      <c r="X14" s="56">
        <v>30541.5</v>
      </c>
      <c r="Y14" s="56">
        <v>38137</v>
      </c>
      <c r="Z14" s="56">
        <v>0</v>
      </c>
      <c r="AA14" s="56">
        <v>0</v>
      </c>
      <c r="AB14" s="56">
        <v>164805</v>
      </c>
      <c r="AC14" s="56">
        <v>0</v>
      </c>
      <c r="AD14" s="56">
        <v>67000</v>
      </c>
      <c r="AE14" s="56">
        <v>0</v>
      </c>
      <c r="AF14" s="56">
        <v>0</v>
      </c>
      <c r="AG14" s="56">
        <v>1508730</v>
      </c>
      <c r="AH14" s="56">
        <v>0</v>
      </c>
      <c r="AI14" s="56">
        <v>0</v>
      </c>
      <c r="AJ14" s="56">
        <v>26519.75</v>
      </c>
      <c r="AK14" s="56">
        <v>18357.25</v>
      </c>
      <c r="AL14" s="56">
        <v>19447.5</v>
      </c>
      <c r="AM14" s="56">
        <v>42712.714285714283</v>
      </c>
      <c r="AN14" s="56">
        <v>0</v>
      </c>
      <c r="AO14" s="59">
        <v>0</v>
      </c>
    </row>
    <row r="15" spans="1:41" ht="19.8" customHeight="1" thickBot="1" x14ac:dyDescent="0.35">
      <c r="A15" s="87" t="s">
        <v>98</v>
      </c>
      <c r="B15" s="54">
        <v>135321</v>
      </c>
      <c r="C15" s="54">
        <v>0</v>
      </c>
      <c r="D15" s="54">
        <v>37625</v>
      </c>
      <c r="E15" s="54">
        <v>29582</v>
      </c>
      <c r="F15" s="54">
        <v>49288</v>
      </c>
      <c r="G15" s="54">
        <v>49932.454545454544</v>
      </c>
      <c r="H15" s="54">
        <v>3613</v>
      </c>
      <c r="I15" s="54">
        <v>192273</v>
      </c>
      <c r="J15" s="54">
        <v>0</v>
      </c>
      <c r="K15" s="54">
        <v>46320.333333333336</v>
      </c>
      <c r="L15" s="54">
        <v>49380.5</v>
      </c>
      <c r="M15" s="54">
        <v>93951</v>
      </c>
      <c r="N15" s="54">
        <v>0</v>
      </c>
      <c r="O15" s="54">
        <v>26992</v>
      </c>
      <c r="P15" s="54">
        <v>10000</v>
      </c>
      <c r="Q15" s="54">
        <v>45</v>
      </c>
      <c r="R15" s="54">
        <v>6518.5714285714284</v>
      </c>
      <c r="S15" s="56">
        <v>2417.4285714285716</v>
      </c>
      <c r="T15" s="56">
        <v>0</v>
      </c>
      <c r="U15" s="56">
        <v>75500</v>
      </c>
      <c r="V15" s="56">
        <v>7163</v>
      </c>
      <c r="W15" s="56">
        <v>2081.5</v>
      </c>
      <c r="X15" s="56">
        <v>3585</v>
      </c>
      <c r="Y15" s="56">
        <v>6189.5</v>
      </c>
      <c r="Z15" s="56">
        <v>1121</v>
      </c>
      <c r="AA15" s="56">
        <v>97</v>
      </c>
      <c r="AB15" s="56">
        <v>3277</v>
      </c>
      <c r="AC15" s="56">
        <v>60086</v>
      </c>
      <c r="AD15" s="56">
        <v>96000</v>
      </c>
      <c r="AE15" s="56">
        <v>97761</v>
      </c>
      <c r="AF15" s="56">
        <v>0</v>
      </c>
      <c r="AG15" s="56">
        <v>938961</v>
      </c>
      <c r="AH15" s="56">
        <v>48510</v>
      </c>
      <c r="AI15" s="56">
        <v>56</v>
      </c>
      <c r="AJ15" s="56">
        <v>7885.25</v>
      </c>
      <c r="AK15" s="56">
        <v>15185.5</v>
      </c>
      <c r="AL15" s="56">
        <v>12182.5</v>
      </c>
      <c r="AM15" s="56">
        <v>9597.1428571428569</v>
      </c>
      <c r="AN15" s="56">
        <v>3176600</v>
      </c>
      <c r="AO15" s="59">
        <v>64812</v>
      </c>
    </row>
    <row r="16" spans="1:41" ht="15" thickBot="1" x14ac:dyDescent="0.35">
      <c r="A16" s="145" t="s">
        <v>111</v>
      </c>
      <c r="B16" s="151">
        <f>SUM(B13:B15)</f>
        <v>2880071</v>
      </c>
      <c r="C16" s="151">
        <f t="shared" ref="C16:AO16" si="1">SUM(C13:C15)</f>
        <v>2885606</v>
      </c>
      <c r="D16" s="151">
        <f t="shared" si="1"/>
        <v>1327055</v>
      </c>
      <c r="E16" s="151">
        <f t="shared" si="1"/>
        <v>1009084</v>
      </c>
      <c r="F16" s="151">
        <f t="shared" si="1"/>
        <v>1174733</v>
      </c>
      <c r="G16" s="151">
        <f t="shared" si="1"/>
        <v>1068217.5454545454</v>
      </c>
      <c r="H16" s="151">
        <f t="shared" si="1"/>
        <v>599920</v>
      </c>
      <c r="I16" s="151">
        <f t="shared" si="1"/>
        <v>851824</v>
      </c>
      <c r="J16" s="151">
        <f t="shared" si="1"/>
        <v>163105.5</v>
      </c>
      <c r="K16" s="151">
        <f t="shared" si="1"/>
        <v>1071822.6666666665</v>
      </c>
      <c r="L16" s="151">
        <f t="shared" si="1"/>
        <v>664528.5</v>
      </c>
      <c r="M16" s="151">
        <f t="shared" si="1"/>
        <v>2103881.5</v>
      </c>
      <c r="N16" s="151">
        <f t="shared" si="1"/>
        <v>106672</v>
      </c>
      <c r="O16" s="151">
        <f t="shared" si="1"/>
        <v>463141.75</v>
      </c>
      <c r="P16" s="151">
        <f t="shared" si="1"/>
        <v>161000</v>
      </c>
      <c r="Q16" s="151">
        <f t="shared" si="1"/>
        <v>3156</v>
      </c>
      <c r="R16" s="151">
        <f t="shared" si="1"/>
        <v>153908.71428571426</v>
      </c>
      <c r="S16" s="151">
        <f t="shared" si="1"/>
        <v>89757.142857142841</v>
      </c>
      <c r="T16" s="151">
        <f t="shared" si="1"/>
        <v>84155</v>
      </c>
      <c r="U16" s="151">
        <f t="shared" si="1"/>
        <v>186317</v>
      </c>
      <c r="V16" s="151">
        <f t="shared" si="1"/>
        <v>131341</v>
      </c>
      <c r="W16" s="151">
        <f t="shared" si="1"/>
        <v>161592.5</v>
      </c>
      <c r="X16" s="151">
        <f t="shared" si="1"/>
        <v>72281</v>
      </c>
      <c r="Y16" s="151">
        <f t="shared" si="1"/>
        <v>173847</v>
      </c>
      <c r="Z16" s="151">
        <f t="shared" si="1"/>
        <v>149341.5</v>
      </c>
      <c r="AA16" s="151">
        <f t="shared" si="1"/>
        <v>8001</v>
      </c>
      <c r="AB16" s="151">
        <f t="shared" si="1"/>
        <v>1319450</v>
      </c>
      <c r="AC16" s="151">
        <f t="shared" si="1"/>
        <v>1514445</v>
      </c>
      <c r="AD16" s="151">
        <f t="shared" si="1"/>
        <v>375000</v>
      </c>
      <c r="AE16" s="151">
        <f t="shared" si="1"/>
        <v>411787.33333333331</v>
      </c>
      <c r="AF16" s="151">
        <f t="shared" si="1"/>
        <v>3458851</v>
      </c>
      <c r="AG16" s="151">
        <f t="shared" si="1"/>
        <v>8066729</v>
      </c>
      <c r="AH16" s="151">
        <f t="shared" si="1"/>
        <v>1480495</v>
      </c>
      <c r="AI16" s="151">
        <f t="shared" si="1"/>
        <v>2962</v>
      </c>
      <c r="AJ16" s="151">
        <f t="shared" si="1"/>
        <v>72845</v>
      </c>
      <c r="AK16" s="151">
        <f t="shared" si="1"/>
        <v>159099.5</v>
      </c>
      <c r="AL16" s="151">
        <f t="shared" si="1"/>
        <v>84285.5</v>
      </c>
      <c r="AM16" s="151">
        <f t="shared" si="1"/>
        <v>202415.28571428574</v>
      </c>
      <c r="AN16" s="151">
        <f t="shared" si="1"/>
        <v>3180560</v>
      </c>
      <c r="AO16" s="151">
        <f t="shared" si="1"/>
        <v>1134182</v>
      </c>
    </row>
    <row r="17" spans="1:41" ht="19.8" customHeight="1" thickBot="1" x14ac:dyDescent="0.35">
      <c r="A17" s="149" t="s">
        <v>86</v>
      </c>
      <c r="B17" s="152">
        <f>+B12+B16</f>
        <v>6610824</v>
      </c>
      <c r="C17" s="152">
        <f t="shared" ref="C17:AO17" si="2">+C12+C16</f>
        <v>3359626</v>
      </c>
      <c r="D17" s="152">
        <f t="shared" si="2"/>
        <v>4603765</v>
      </c>
      <c r="E17" s="152">
        <f t="shared" si="2"/>
        <v>9424746</v>
      </c>
      <c r="F17" s="152">
        <f t="shared" si="2"/>
        <v>2295323</v>
      </c>
      <c r="G17" s="152">
        <f t="shared" si="2"/>
        <v>4169708.1818181816</v>
      </c>
      <c r="H17" s="152">
        <f t="shared" si="2"/>
        <v>1359065</v>
      </c>
      <c r="I17" s="152">
        <f t="shared" si="2"/>
        <v>4415764</v>
      </c>
      <c r="J17" s="152">
        <f t="shared" si="2"/>
        <v>6093396.5</v>
      </c>
      <c r="K17" s="152">
        <f t="shared" si="2"/>
        <v>4932425</v>
      </c>
      <c r="L17" s="152">
        <f t="shared" si="2"/>
        <v>8000134</v>
      </c>
      <c r="M17" s="152">
        <f t="shared" si="2"/>
        <v>10175799</v>
      </c>
      <c r="N17" s="152">
        <f t="shared" si="2"/>
        <v>4505379</v>
      </c>
      <c r="O17" s="152">
        <f t="shared" si="2"/>
        <v>6285025</v>
      </c>
      <c r="P17" s="152">
        <f t="shared" si="2"/>
        <v>1679500</v>
      </c>
      <c r="Q17" s="152">
        <f t="shared" si="2"/>
        <v>240215</v>
      </c>
      <c r="R17" s="152">
        <f t="shared" si="2"/>
        <v>576274.57142857136</v>
      </c>
      <c r="S17" s="152">
        <f t="shared" si="2"/>
        <v>1383520</v>
      </c>
      <c r="T17" s="152">
        <f t="shared" si="2"/>
        <v>258245</v>
      </c>
      <c r="U17" s="152">
        <f t="shared" si="2"/>
        <v>2073830</v>
      </c>
      <c r="V17" s="152">
        <f t="shared" si="2"/>
        <v>1124040</v>
      </c>
      <c r="W17" s="152">
        <f t="shared" si="2"/>
        <v>1392135</v>
      </c>
      <c r="X17" s="152">
        <f t="shared" si="2"/>
        <v>418131.5</v>
      </c>
      <c r="Y17" s="152">
        <f t="shared" si="2"/>
        <v>1345937.5</v>
      </c>
      <c r="Z17" s="152">
        <f t="shared" si="2"/>
        <v>870459</v>
      </c>
      <c r="AA17" s="152">
        <f t="shared" si="2"/>
        <v>316204</v>
      </c>
      <c r="AB17" s="152">
        <f t="shared" si="2"/>
        <v>12331457</v>
      </c>
      <c r="AC17" s="152">
        <f t="shared" si="2"/>
        <v>9175145</v>
      </c>
      <c r="AD17" s="152">
        <f t="shared" si="2"/>
        <v>2055000</v>
      </c>
      <c r="AE17" s="152">
        <f t="shared" si="2"/>
        <v>1256007</v>
      </c>
      <c r="AF17" s="152">
        <f t="shared" si="2"/>
        <v>10385230</v>
      </c>
      <c r="AG17" s="152">
        <f t="shared" si="2"/>
        <v>34634222</v>
      </c>
      <c r="AH17" s="152">
        <f t="shared" si="2"/>
        <v>14871871</v>
      </c>
      <c r="AI17" s="152">
        <f t="shared" si="2"/>
        <v>165415</v>
      </c>
      <c r="AJ17" s="152">
        <f t="shared" si="2"/>
        <v>562325.25</v>
      </c>
      <c r="AK17" s="152">
        <f t="shared" si="2"/>
        <v>1141108</v>
      </c>
      <c r="AL17" s="152">
        <f t="shared" si="2"/>
        <v>798718.5</v>
      </c>
      <c r="AM17" s="152">
        <f t="shared" si="2"/>
        <v>3413328.2857142859</v>
      </c>
      <c r="AN17" s="152">
        <f t="shared" si="2"/>
        <v>41883819</v>
      </c>
      <c r="AO17" s="152">
        <f t="shared" si="2"/>
        <v>2185374.3333333335</v>
      </c>
    </row>
    <row r="18" spans="1:41" ht="19.8" customHeight="1" x14ac:dyDescent="0.3">
      <c r="A18" s="87" t="s">
        <v>1</v>
      </c>
      <c r="B18" s="54">
        <v>414</v>
      </c>
      <c r="C18" s="54">
        <v>59</v>
      </c>
      <c r="D18" s="54">
        <v>42</v>
      </c>
      <c r="E18" s="54">
        <v>1390</v>
      </c>
      <c r="F18" s="54">
        <v>745</v>
      </c>
      <c r="G18" s="54">
        <v>658.4545454545455</v>
      </c>
      <c r="H18" s="54">
        <v>1080</v>
      </c>
      <c r="I18" s="54">
        <v>1810</v>
      </c>
      <c r="J18" s="54">
        <v>135</v>
      </c>
      <c r="K18" s="54">
        <v>858</v>
      </c>
      <c r="L18" s="54">
        <v>164.5</v>
      </c>
      <c r="M18" s="54">
        <v>1659.5</v>
      </c>
      <c r="N18" s="54">
        <v>150</v>
      </c>
      <c r="O18" s="54">
        <v>154.75</v>
      </c>
      <c r="P18" s="54">
        <v>65</v>
      </c>
      <c r="Q18" s="54">
        <v>444</v>
      </c>
      <c r="R18" s="54">
        <v>289.42857142857144</v>
      </c>
      <c r="S18" s="56">
        <v>238</v>
      </c>
      <c r="T18" s="56">
        <v>16</v>
      </c>
      <c r="U18" s="56">
        <v>757</v>
      </c>
      <c r="V18" s="56">
        <v>313.16666666666669</v>
      </c>
      <c r="W18" s="56">
        <v>80.5</v>
      </c>
      <c r="X18" s="56">
        <v>114.5</v>
      </c>
      <c r="Y18" s="56">
        <v>218</v>
      </c>
      <c r="Z18" s="56">
        <v>292.5</v>
      </c>
      <c r="AA18" s="56">
        <v>195</v>
      </c>
      <c r="AB18" s="56">
        <v>102</v>
      </c>
      <c r="AC18" s="56">
        <v>723</v>
      </c>
      <c r="AD18" s="56">
        <v>275</v>
      </c>
      <c r="AE18" s="56">
        <v>259.66666666666669</v>
      </c>
      <c r="AF18" s="56">
        <v>1817</v>
      </c>
      <c r="AG18" s="56">
        <v>104</v>
      </c>
      <c r="AH18" s="56">
        <v>2089</v>
      </c>
      <c r="AI18" s="56">
        <v>54</v>
      </c>
      <c r="AJ18" s="56">
        <v>213</v>
      </c>
      <c r="AK18" s="56">
        <v>145.25</v>
      </c>
      <c r="AL18" s="56">
        <v>320.5</v>
      </c>
      <c r="AM18" s="56">
        <v>171.14285714285714</v>
      </c>
      <c r="AN18" s="56">
        <v>1</v>
      </c>
      <c r="AO18" s="59">
        <v>233.33333333333334</v>
      </c>
    </row>
    <row r="19" spans="1:41" ht="19.8" customHeight="1" thickBot="1" x14ac:dyDescent="0.35">
      <c r="A19" s="101" t="s">
        <v>2</v>
      </c>
      <c r="B19" s="102">
        <v>0</v>
      </c>
      <c r="C19" s="102">
        <v>0</v>
      </c>
      <c r="D19" s="102">
        <v>26</v>
      </c>
      <c r="E19" s="102">
        <v>1566</v>
      </c>
      <c r="F19" s="102">
        <v>922.5</v>
      </c>
      <c r="G19" s="102">
        <v>992.09090909090912</v>
      </c>
      <c r="H19" s="102">
        <v>332</v>
      </c>
      <c r="I19" s="102">
        <v>0</v>
      </c>
      <c r="J19" s="102">
        <v>47</v>
      </c>
      <c r="K19" s="102">
        <v>849.66666666666663</v>
      </c>
      <c r="L19" s="102">
        <v>190</v>
      </c>
      <c r="M19" s="102">
        <v>596</v>
      </c>
      <c r="N19" s="102">
        <v>154</v>
      </c>
      <c r="O19" s="102">
        <v>110.75</v>
      </c>
      <c r="P19" s="102">
        <v>55</v>
      </c>
      <c r="Q19" s="102">
        <v>573</v>
      </c>
      <c r="R19" s="102">
        <v>319.28571428571428</v>
      </c>
      <c r="S19" s="78">
        <v>296</v>
      </c>
      <c r="T19" s="78">
        <v>6</v>
      </c>
      <c r="U19" s="78">
        <v>510</v>
      </c>
      <c r="V19" s="78">
        <v>371.41666666666669</v>
      </c>
      <c r="W19" s="78">
        <v>64.5</v>
      </c>
      <c r="X19" s="78">
        <v>173.5</v>
      </c>
      <c r="Y19" s="78">
        <v>75.5</v>
      </c>
      <c r="Z19" s="78">
        <v>176</v>
      </c>
      <c r="AA19" s="78">
        <v>513</v>
      </c>
      <c r="AB19" s="78">
        <v>81</v>
      </c>
      <c r="AC19" s="78">
        <v>1240</v>
      </c>
      <c r="AD19" s="78">
        <v>564</v>
      </c>
      <c r="AE19" s="78">
        <v>190.33333333333334</v>
      </c>
      <c r="AF19" s="78">
        <v>1855</v>
      </c>
      <c r="AG19" s="78">
        <v>0</v>
      </c>
      <c r="AH19" s="78">
        <v>3231</v>
      </c>
      <c r="AI19" s="78">
        <v>74</v>
      </c>
      <c r="AJ19" s="78">
        <v>186</v>
      </c>
      <c r="AK19" s="78">
        <v>191.5</v>
      </c>
      <c r="AL19" s="78">
        <v>225.5</v>
      </c>
      <c r="AM19" s="78">
        <v>192.14285714285714</v>
      </c>
      <c r="AN19" s="78">
        <v>0</v>
      </c>
      <c r="AO19" s="80">
        <v>59.666666666666664</v>
      </c>
    </row>
    <row r="20" spans="1:41" ht="19.8" customHeight="1" x14ac:dyDescent="0.3"/>
    <row r="21" spans="1:41" ht="15" thickBot="1" x14ac:dyDescent="0.35">
      <c r="A21" s="199" t="s">
        <v>118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</row>
    <row r="22" spans="1:41" x14ac:dyDescent="0.3">
      <c r="A22" s="48" t="s">
        <v>87</v>
      </c>
      <c r="B22" s="85">
        <f>+B4/B$17</f>
        <v>0.14892319021047906</v>
      </c>
      <c r="C22" s="85">
        <f t="shared" ref="C22:AO22" si="3">+C4/C$17</f>
        <v>3.653978151139442E-2</v>
      </c>
      <c r="D22" s="85">
        <f t="shared" si="3"/>
        <v>0.14693712646062515</v>
      </c>
      <c r="E22" s="85">
        <f t="shared" si="3"/>
        <v>5.1158089565490679E-2</v>
      </c>
      <c r="F22" s="85">
        <f t="shared" si="3"/>
        <v>0.20669008239798931</v>
      </c>
      <c r="G22" s="85">
        <f t="shared" si="3"/>
        <v>0.19274797734918883</v>
      </c>
      <c r="H22" s="85">
        <f t="shared" si="3"/>
        <v>0.13659096511204394</v>
      </c>
      <c r="I22" s="85">
        <f t="shared" si="3"/>
        <v>0.13337012575853238</v>
      </c>
      <c r="J22" s="85">
        <f t="shared" si="3"/>
        <v>0.36795053464845101</v>
      </c>
      <c r="K22" s="85">
        <f t="shared" si="3"/>
        <v>0.20079332174336154</v>
      </c>
      <c r="L22" s="85">
        <f t="shared" si="3"/>
        <v>0.15770867087976276</v>
      </c>
      <c r="M22" s="85">
        <f t="shared" si="3"/>
        <v>0.10062713502890534</v>
      </c>
      <c r="N22" s="85">
        <f t="shared" si="3"/>
        <v>0.17564604442822679</v>
      </c>
      <c r="O22" s="85">
        <f t="shared" si="3"/>
        <v>0.12001507551680383</v>
      </c>
      <c r="P22" s="85">
        <f t="shared" si="3"/>
        <v>0.12503721345638583</v>
      </c>
      <c r="Q22" s="85">
        <f t="shared" si="3"/>
        <v>2.1093603646733135E-2</v>
      </c>
      <c r="R22" s="85">
        <f t="shared" si="3"/>
        <v>0.18823715480864531</v>
      </c>
      <c r="S22" s="85">
        <f t="shared" si="3"/>
        <v>0.29000055758396803</v>
      </c>
      <c r="T22" s="85">
        <f t="shared" si="3"/>
        <v>1.0571356657437704E-2</v>
      </c>
      <c r="U22" s="85">
        <f t="shared" si="3"/>
        <v>0.15237507413818877</v>
      </c>
      <c r="V22" s="85">
        <f t="shared" si="3"/>
        <v>0.19050656560264759</v>
      </c>
      <c r="W22" s="85">
        <f t="shared" si="3"/>
        <v>0.22378217629755734</v>
      </c>
      <c r="X22" s="85">
        <f t="shared" si="3"/>
        <v>0.22581054046394494</v>
      </c>
      <c r="Y22" s="85">
        <f t="shared" si="3"/>
        <v>0.1727420478291154</v>
      </c>
      <c r="Z22" s="85">
        <f t="shared" si="3"/>
        <v>0.14690123256810486</v>
      </c>
      <c r="AA22" s="85">
        <f t="shared" si="3"/>
        <v>0.17780609985958432</v>
      </c>
      <c r="AB22" s="85">
        <f t="shared" si="3"/>
        <v>0.20971179642438034</v>
      </c>
      <c r="AC22" s="85">
        <f t="shared" si="3"/>
        <v>0.14075995529225968</v>
      </c>
      <c r="AD22" s="85">
        <f t="shared" si="3"/>
        <v>0.17226277372262774</v>
      </c>
      <c r="AE22" s="85">
        <f t="shared" si="3"/>
        <v>0.21075891031392874</v>
      </c>
      <c r="AF22" s="85">
        <f t="shared" si="3"/>
        <v>0.20611079388708772</v>
      </c>
      <c r="AG22" s="85">
        <f t="shared" si="3"/>
        <v>6.7125139984377302E-2</v>
      </c>
      <c r="AH22" s="85">
        <f t="shared" si="3"/>
        <v>0.11524528420129518</v>
      </c>
      <c r="AI22" s="85">
        <f t="shared" si="3"/>
        <v>9.4084575159447445E-2</v>
      </c>
      <c r="AJ22" s="85">
        <f t="shared" si="3"/>
        <v>0.22705409369399648</v>
      </c>
      <c r="AK22" s="85">
        <f t="shared" si="3"/>
        <v>0.20463970106247611</v>
      </c>
      <c r="AL22" s="85">
        <f t="shared" si="3"/>
        <v>0.18090603886100046</v>
      </c>
      <c r="AM22" s="85">
        <f t="shared" si="3"/>
        <v>6.7149248295484368E-2</v>
      </c>
      <c r="AN22" s="85">
        <f t="shared" si="3"/>
        <v>0</v>
      </c>
      <c r="AO22" s="85">
        <f t="shared" si="3"/>
        <v>0.15943965663853468</v>
      </c>
    </row>
    <row r="23" spans="1:41" x14ac:dyDescent="0.3">
      <c r="A23" s="87" t="s">
        <v>89</v>
      </c>
      <c r="B23" s="85">
        <f t="shared" ref="B23:AO23" si="4">+B5/B$17</f>
        <v>7.36352987161661E-2</v>
      </c>
      <c r="C23" s="85">
        <f t="shared" si="4"/>
        <v>7.0638815153829622E-3</v>
      </c>
      <c r="D23" s="85">
        <f t="shared" si="4"/>
        <v>0.16922605736826271</v>
      </c>
      <c r="E23" s="85">
        <f t="shared" si="4"/>
        <v>2.8985608736829618E-2</v>
      </c>
      <c r="F23" s="85">
        <f t="shared" si="4"/>
        <v>1.4360723959111636E-2</v>
      </c>
      <c r="G23" s="85">
        <f t="shared" si="4"/>
        <v>6.1916890194408637E-2</v>
      </c>
      <c r="H23" s="85">
        <f t="shared" si="4"/>
        <v>3.8476452561135778E-2</v>
      </c>
      <c r="I23" s="85">
        <f t="shared" si="4"/>
        <v>1.8643206475708395E-2</v>
      </c>
      <c r="J23" s="85">
        <f t="shared" si="4"/>
        <v>3.8517516462288313E-2</v>
      </c>
      <c r="K23" s="85">
        <f t="shared" si="4"/>
        <v>3.6540714422081094E-2</v>
      </c>
      <c r="L23" s="85">
        <f t="shared" si="4"/>
        <v>2.460177542026171E-2</v>
      </c>
      <c r="M23" s="85">
        <f t="shared" si="4"/>
        <v>4.0720242213903794E-2</v>
      </c>
      <c r="N23" s="85">
        <f t="shared" si="4"/>
        <v>6.1508032953498472E-2</v>
      </c>
      <c r="O23" s="85">
        <f t="shared" si="4"/>
        <v>2.0673863668004503E-2</v>
      </c>
      <c r="P23" s="85">
        <f t="shared" si="4"/>
        <v>4.97171777314677E-2</v>
      </c>
      <c r="Q23" s="85">
        <f t="shared" si="4"/>
        <v>2.1093603646733135E-2</v>
      </c>
      <c r="R23" s="85">
        <f t="shared" si="4"/>
        <v>6.268118223406402E-2</v>
      </c>
      <c r="S23" s="85">
        <f t="shared" si="4"/>
        <v>1.4820375357266765E-2</v>
      </c>
      <c r="T23" s="85">
        <f t="shared" si="4"/>
        <v>8.6925206683575673E-2</v>
      </c>
      <c r="U23" s="85">
        <f t="shared" si="4"/>
        <v>4.3939474305994222E-2</v>
      </c>
      <c r="V23" s="85">
        <f t="shared" si="4"/>
        <v>3.0237358101135189E-2</v>
      </c>
      <c r="W23" s="85">
        <f t="shared" si="4"/>
        <v>0.14568091456647522</v>
      </c>
      <c r="X23" s="85">
        <f t="shared" si="4"/>
        <v>8.7358881117543169E-2</v>
      </c>
      <c r="Y23" s="85">
        <f t="shared" si="4"/>
        <v>6.2968005572324126E-2</v>
      </c>
      <c r="Z23" s="85">
        <f t="shared" si="4"/>
        <v>0.14366845537813958</v>
      </c>
      <c r="AA23" s="85">
        <f t="shared" si="4"/>
        <v>4.0673109764582362E-2</v>
      </c>
      <c r="AB23" s="85">
        <f t="shared" si="4"/>
        <v>2.062400250027227E-2</v>
      </c>
      <c r="AC23" s="85">
        <f t="shared" si="4"/>
        <v>4.3537077615667108E-2</v>
      </c>
      <c r="AD23" s="85">
        <f t="shared" si="4"/>
        <v>0.18880778588807787</v>
      </c>
      <c r="AE23" s="85">
        <f t="shared" si="4"/>
        <v>9.6590226009886884E-2</v>
      </c>
      <c r="AF23" s="85">
        <f t="shared" si="4"/>
        <v>2.5564094391746742E-2</v>
      </c>
      <c r="AG23" s="85">
        <f t="shared" si="4"/>
        <v>2.227377880756207E-2</v>
      </c>
      <c r="AH23" s="85">
        <f t="shared" si="4"/>
        <v>2.9585853723448786E-2</v>
      </c>
      <c r="AI23" s="85">
        <f t="shared" si="4"/>
        <v>5.6681679412387026E-2</v>
      </c>
      <c r="AJ23" s="85">
        <f t="shared" si="4"/>
        <v>8.4116798952207819E-2</v>
      </c>
      <c r="AK23" s="85">
        <f t="shared" si="4"/>
        <v>9.7855330082691566E-2</v>
      </c>
      <c r="AL23" s="85">
        <f t="shared" si="4"/>
        <v>0.12569008981261859</v>
      </c>
      <c r="AM23" s="85">
        <f t="shared" si="4"/>
        <v>0.63513626289681724</v>
      </c>
      <c r="AN23" s="85">
        <f t="shared" si="4"/>
        <v>0.6018951375947833</v>
      </c>
      <c r="AO23" s="85">
        <f t="shared" si="4"/>
        <v>5.1183603480288574E-2</v>
      </c>
    </row>
    <row r="24" spans="1:41" x14ac:dyDescent="0.3">
      <c r="A24" s="87" t="s">
        <v>90</v>
      </c>
      <c r="B24" s="85">
        <f t="shared" ref="B24:AO24" si="5">+B6/B$17</f>
        <v>6.8505832253286433E-3</v>
      </c>
      <c r="C24" s="85">
        <f t="shared" si="5"/>
        <v>0</v>
      </c>
      <c r="D24" s="85">
        <f t="shared" si="5"/>
        <v>1.6033398750805047E-2</v>
      </c>
      <c r="E24" s="85">
        <f t="shared" si="5"/>
        <v>2.031938049046627E-2</v>
      </c>
      <c r="F24" s="85">
        <f t="shared" si="5"/>
        <v>4.7661483808596875E-2</v>
      </c>
      <c r="G24" s="85">
        <f t="shared" si="5"/>
        <v>7.3900091983764293E-3</v>
      </c>
      <c r="H24" s="85">
        <f t="shared" si="5"/>
        <v>0.27200538605585456</v>
      </c>
      <c r="I24" s="85">
        <f t="shared" si="5"/>
        <v>3.0250031478131531E-2</v>
      </c>
      <c r="J24" s="85">
        <f t="shared" si="5"/>
        <v>3.1900106943639726E-2</v>
      </c>
      <c r="K24" s="85">
        <f t="shared" si="5"/>
        <v>1.1713981121524065E-2</v>
      </c>
      <c r="L24" s="85">
        <f t="shared" si="5"/>
        <v>2.6414120063488936E-2</v>
      </c>
      <c r="M24" s="85">
        <f t="shared" si="5"/>
        <v>4.1590345878490722E-3</v>
      </c>
      <c r="N24" s="85">
        <f t="shared" si="5"/>
        <v>1.1409251030823377E-2</v>
      </c>
      <c r="O24" s="85">
        <f t="shared" si="5"/>
        <v>3.197664289322636E-2</v>
      </c>
      <c r="P24" s="85">
        <f t="shared" si="5"/>
        <v>1.4885382554331646E-2</v>
      </c>
      <c r="Q24" s="85">
        <f t="shared" si="5"/>
        <v>6.4463085152883876E-2</v>
      </c>
      <c r="R24" s="85">
        <f t="shared" si="5"/>
        <v>5.1378286441830068E-2</v>
      </c>
      <c r="S24" s="85">
        <f t="shared" si="5"/>
        <v>0.20819493548546977</v>
      </c>
      <c r="T24" s="85">
        <f t="shared" si="5"/>
        <v>4.1170206586768378E-2</v>
      </c>
      <c r="U24" s="85">
        <f t="shared" si="5"/>
        <v>3.3561092278537777E-2</v>
      </c>
      <c r="V24" s="85">
        <f t="shared" si="5"/>
        <v>3.2481940144478846E-2</v>
      </c>
      <c r="W24" s="85">
        <f t="shared" si="5"/>
        <v>2.505468219676971E-2</v>
      </c>
      <c r="X24" s="85">
        <f t="shared" si="5"/>
        <v>3.9547367275605878E-2</v>
      </c>
      <c r="Y24" s="85">
        <f t="shared" si="5"/>
        <v>2.5354074762015323E-2</v>
      </c>
      <c r="Z24" s="85">
        <f t="shared" si="5"/>
        <v>2.4805878278011947E-2</v>
      </c>
      <c r="AA24" s="85">
        <f t="shared" si="5"/>
        <v>3.9047576880747871E-2</v>
      </c>
      <c r="AB24" s="85">
        <f t="shared" si="5"/>
        <v>3.6451734778785667E-2</v>
      </c>
      <c r="AC24" s="85">
        <f t="shared" si="5"/>
        <v>4.2459274485580336E-3</v>
      </c>
      <c r="AD24" s="85">
        <f t="shared" si="5"/>
        <v>3.8442822384428227E-2</v>
      </c>
      <c r="AE24" s="85">
        <f t="shared" si="5"/>
        <v>2.8699415422578589E-2</v>
      </c>
      <c r="AF24" s="85">
        <f t="shared" si="5"/>
        <v>1.3394888702513088E-2</v>
      </c>
      <c r="AG24" s="85">
        <f t="shared" si="5"/>
        <v>3.6416207068257517E-2</v>
      </c>
      <c r="AH24" s="85">
        <f t="shared" si="5"/>
        <v>3.5980677885116136E-3</v>
      </c>
      <c r="AI24" s="85">
        <f t="shared" si="5"/>
        <v>4.6247317353323457E-2</v>
      </c>
      <c r="AJ24" s="85">
        <f t="shared" si="5"/>
        <v>7.4612957536585811E-2</v>
      </c>
      <c r="AK24" s="85">
        <f t="shared" si="5"/>
        <v>5.9579592816806123E-2</v>
      </c>
      <c r="AL24" s="85">
        <f t="shared" si="5"/>
        <v>9.6590350667976263E-2</v>
      </c>
      <c r="AM24" s="85">
        <f t="shared" si="5"/>
        <v>1.4532694481942174E-2</v>
      </c>
      <c r="AN24" s="85">
        <f t="shared" si="5"/>
        <v>7.9266888246269998E-4</v>
      </c>
      <c r="AO24" s="85">
        <f t="shared" si="5"/>
        <v>1.3631836986584907E-2</v>
      </c>
    </row>
    <row r="25" spans="1:41" x14ac:dyDescent="0.3">
      <c r="A25" s="87" t="s">
        <v>91</v>
      </c>
      <c r="B25" s="85">
        <f t="shared" ref="B25:AO25" si="6">+B7/B$17</f>
        <v>9.5910887961924263E-2</v>
      </c>
      <c r="C25" s="85">
        <f t="shared" si="6"/>
        <v>3.2656015877957842E-2</v>
      </c>
      <c r="D25" s="85">
        <f t="shared" si="6"/>
        <v>0.13632515995060565</v>
      </c>
      <c r="E25" s="85">
        <f t="shared" si="6"/>
        <v>0.1220095480557248</v>
      </c>
      <c r="F25" s="85">
        <f t="shared" si="6"/>
        <v>9.4224429415816421E-2</v>
      </c>
      <c r="G25" s="85">
        <f t="shared" si="6"/>
        <v>0.14116708407106754</v>
      </c>
      <c r="H25" s="85">
        <f t="shared" si="6"/>
        <v>2.6618300081305897E-2</v>
      </c>
      <c r="I25" s="85">
        <f t="shared" si="6"/>
        <v>0.22099505317766077</v>
      </c>
      <c r="J25" s="85">
        <f t="shared" si="6"/>
        <v>0.17783144425280711</v>
      </c>
      <c r="K25" s="85">
        <f t="shared" si="6"/>
        <v>0.19502827378689658</v>
      </c>
      <c r="L25" s="85">
        <f t="shared" si="6"/>
        <v>0.1539161719041206</v>
      </c>
      <c r="M25" s="85">
        <f t="shared" si="6"/>
        <v>0.21966869628615895</v>
      </c>
      <c r="N25" s="85">
        <f t="shared" si="6"/>
        <v>7.6864565666950546E-2</v>
      </c>
      <c r="O25" s="85">
        <f t="shared" si="6"/>
        <v>6.423641910732257E-2</v>
      </c>
      <c r="P25" s="85">
        <f t="shared" si="6"/>
        <v>0.20244120273891039</v>
      </c>
      <c r="Q25" s="85">
        <f t="shared" si="6"/>
        <v>0.23139271069666756</v>
      </c>
      <c r="R25" s="85">
        <f t="shared" si="6"/>
        <v>0.19674078973267212</v>
      </c>
      <c r="S25" s="85">
        <f t="shared" si="6"/>
        <v>0.12968700953262072</v>
      </c>
      <c r="T25" s="85">
        <f t="shared" si="6"/>
        <v>7.841390927220275E-2</v>
      </c>
      <c r="U25" s="85">
        <f t="shared" si="6"/>
        <v>0.32255295757125707</v>
      </c>
      <c r="V25" s="85">
        <f t="shared" si="6"/>
        <v>0.10485303014127612</v>
      </c>
      <c r="W25" s="85">
        <f t="shared" si="6"/>
        <v>0.21466596271194963</v>
      </c>
      <c r="X25" s="85">
        <f t="shared" si="6"/>
        <v>0.12171888508758608</v>
      </c>
      <c r="Y25" s="85">
        <f t="shared" si="6"/>
        <v>0.16217469236127235</v>
      </c>
      <c r="Z25" s="85">
        <f t="shared" si="6"/>
        <v>0.19805585329119466</v>
      </c>
      <c r="AA25" s="85">
        <f t="shared" si="6"/>
        <v>0.2157278212799332</v>
      </c>
      <c r="AB25" s="85">
        <f t="shared" si="6"/>
        <v>6.2153726035779878E-2</v>
      </c>
      <c r="AC25" s="85">
        <f t="shared" si="6"/>
        <v>0.23845214435303203</v>
      </c>
      <c r="AD25" s="85">
        <f t="shared" si="6"/>
        <v>0.2340632603406326</v>
      </c>
      <c r="AE25" s="85">
        <f t="shared" si="6"/>
        <v>7.4702078358905105E-2</v>
      </c>
      <c r="AF25" s="85">
        <f t="shared" si="6"/>
        <v>0.23984620465796136</v>
      </c>
      <c r="AG25" s="85">
        <f t="shared" si="6"/>
        <v>0.13990087607569185</v>
      </c>
      <c r="AH25" s="85">
        <f t="shared" si="6"/>
        <v>0.31282614003308662</v>
      </c>
      <c r="AI25" s="85">
        <f t="shared" si="6"/>
        <v>0.15673306532055739</v>
      </c>
      <c r="AJ25" s="85">
        <f t="shared" si="6"/>
        <v>0.16390025167818803</v>
      </c>
      <c r="AK25" s="85">
        <f t="shared" si="6"/>
        <v>0.15342916709023161</v>
      </c>
      <c r="AL25" s="85">
        <f t="shared" si="6"/>
        <v>0.17905119262919289</v>
      </c>
      <c r="AM25" s="85">
        <f t="shared" si="6"/>
        <v>5.1495904834903912E-2</v>
      </c>
      <c r="AN25" s="85">
        <f t="shared" si="6"/>
        <v>0.17418323290910984</v>
      </c>
      <c r="AO25" s="85">
        <f t="shared" si="6"/>
        <v>0.13112612438784324</v>
      </c>
    </row>
    <row r="26" spans="1:41" x14ac:dyDescent="0.3">
      <c r="A26" s="87" t="s">
        <v>92</v>
      </c>
      <c r="B26" s="85">
        <f t="shared" ref="B26:AO26" si="7">+B8/B$17</f>
        <v>6.2352287702713001E-4</v>
      </c>
      <c r="C26" s="85">
        <f t="shared" si="7"/>
        <v>0</v>
      </c>
      <c r="D26" s="85">
        <f t="shared" si="7"/>
        <v>0</v>
      </c>
      <c r="E26" s="85">
        <f t="shared" si="7"/>
        <v>5.6457754935782889E-4</v>
      </c>
      <c r="F26" s="85">
        <f t="shared" si="7"/>
        <v>0</v>
      </c>
      <c r="G26" s="85">
        <f t="shared" si="7"/>
        <v>2.2532817317279016E-2</v>
      </c>
      <c r="H26" s="85">
        <f t="shared" si="7"/>
        <v>0</v>
      </c>
      <c r="I26" s="85">
        <f t="shared" si="7"/>
        <v>1.2872744104983871E-2</v>
      </c>
      <c r="J26" s="85">
        <f t="shared" si="7"/>
        <v>1.2586986584575613E-2</v>
      </c>
      <c r="K26" s="85">
        <f t="shared" si="7"/>
        <v>0</v>
      </c>
      <c r="L26" s="85">
        <f t="shared" si="7"/>
        <v>1.508318485665365E-2</v>
      </c>
      <c r="M26" s="85">
        <f t="shared" si="7"/>
        <v>2.0848485706134723E-4</v>
      </c>
      <c r="N26" s="85">
        <f t="shared" si="7"/>
        <v>6.4409675634391692E-3</v>
      </c>
      <c r="O26" s="85">
        <f t="shared" si="7"/>
        <v>2.7771965903079145E-3</v>
      </c>
      <c r="P26" s="85">
        <f t="shared" si="7"/>
        <v>0</v>
      </c>
      <c r="Q26" s="85">
        <f t="shared" si="7"/>
        <v>0</v>
      </c>
      <c r="R26" s="85">
        <f t="shared" si="7"/>
        <v>5.6257904838021167E-3</v>
      </c>
      <c r="S26" s="85">
        <f t="shared" si="7"/>
        <v>1.7915998942655588E-3</v>
      </c>
      <c r="T26" s="85">
        <f t="shared" si="7"/>
        <v>0</v>
      </c>
      <c r="U26" s="85">
        <f t="shared" si="7"/>
        <v>1.3019389245984482E-2</v>
      </c>
      <c r="V26" s="85">
        <f t="shared" si="7"/>
        <v>1.7988683676737483E-3</v>
      </c>
      <c r="W26" s="85">
        <f t="shared" si="7"/>
        <v>1.9531151792031663E-3</v>
      </c>
      <c r="X26" s="85">
        <f t="shared" si="7"/>
        <v>1.1247657734468702E-2</v>
      </c>
      <c r="Y26" s="85">
        <f t="shared" si="7"/>
        <v>0</v>
      </c>
      <c r="Z26" s="85">
        <f t="shared" si="7"/>
        <v>2.4240084828808708E-4</v>
      </c>
      <c r="AA26" s="85">
        <f t="shared" si="7"/>
        <v>0</v>
      </c>
      <c r="AB26" s="85">
        <f t="shared" si="7"/>
        <v>5.8514577798876484E-3</v>
      </c>
      <c r="AC26" s="85">
        <f t="shared" si="7"/>
        <v>0</v>
      </c>
      <c r="AD26" s="85">
        <f t="shared" si="7"/>
        <v>0</v>
      </c>
      <c r="AE26" s="85">
        <f t="shared" si="7"/>
        <v>0</v>
      </c>
      <c r="AF26" s="85">
        <f t="shared" si="7"/>
        <v>0</v>
      </c>
      <c r="AG26" s="85">
        <f t="shared" si="7"/>
        <v>9.0433675686435227E-4</v>
      </c>
      <c r="AH26" s="85">
        <f t="shared" si="7"/>
        <v>4.3706672818773107E-6</v>
      </c>
      <c r="AI26" s="85">
        <f t="shared" si="7"/>
        <v>0</v>
      </c>
      <c r="AJ26" s="85">
        <f t="shared" si="7"/>
        <v>3.0507255365111206E-2</v>
      </c>
      <c r="AK26" s="85">
        <f t="shared" si="7"/>
        <v>1.938685908783393E-2</v>
      </c>
      <c r="AL26" s="85">
        <f t="shared" si="7"/>
        <v>3.5001067334736832E-2</v>
      </c>
      <c r="AM26" s="85">
        <f t="shared" si="7"/>
        <v>3.6824552223807695E-3</v>
      </c>
      <c r="AN26" s="85">
        <f t="shared" si="7"/>
        <v>0</v>
      </c>
      <c r="AO26" s="85">
        <f t="shared" si="7"/>
        <v>4.0793926532494886E-3</v>
      </c>
    </row>
    <row r="27" spans="1:41" x14ac:dyDescent="0.3">
      <c r="A27" s="87" t="s">
        <v>126</v>
      </c>
      <c r="B27" s="85">
        <f t="shared" ref="B27:AO27" si="8">+B9/B$17</f>
        <v>1.2263372916901131E-2</v>
      </c>
      <c r="C27" s="85">
        <f t="shared" si="8"/>
        <v>1.1057480802922705E-2</v>
      </c>
      <c r="D27" s="85">
        <f t="shared" si="8"/>
        <v>0.20857689304297677</v>
      </c>
      <c r="E27" s="85">
        <f t="shared" si="8"/>
        <v>0.34924209098048903</v>
      </c>
      <c r="F27" s="85">
        <f t="shared" si="8"/>
        <v>5.5741392387912286E-2</v>
      </c>
      <c r="G27" s="85">
        <f t="shared" si="8"/>
        <v>0.17571286327209731</v>
      </c>
      <c r="H27" s="85">
        <f t="shared" si="8"/>
        <v>8.4887772108030154E-2</v>
      </c>
      <c r="I27" s="85">
        <f t="shared" si="8"/>
        <v>0.11312425211129942</v>
      </c>
      <c r="J27" s="85">
        <f t="shared" si="8"/>
        <v>0.30598205778993703</v>
      </c>
      <c r="K27" s="85">
        <f t="shared" si="8"/>
        <v>0.13851124615849877</v>
      </c>
      <c r="L27" s="85">
        <f t="shared" si="8"/>
        <v>9.9162714024540091E-2</v>
      </c>
      <c r="M27" s="85">
        <f t="shared" si="8"/>
        <v>5.9436217244464046E-2</v>
      </c>
      <c r="N27" s="85">
        <f t="shared" si="8"/>
        <v>0.15163496789060366</v>
      </c>
      <c r="O27" s="85">
        <f t="shared" si="8"/>
        <v>0.13282218447818425</v>
      </c>
      <c r="P27" s="85">
        <f t="shared" si="8"/>
        <v>0.51205715986900868</v>
      </c>
      <c r="Q27" s="85">
        <f t="shared" si="8"/>
        <v>0.62444060529109335</v>
      </c>
      <c r="R27" s="85">
        <f t="shared" si="8"/>
        <v>0.2003737305778347</v>
      </c>
      <c r="S27" s="85">
        <f t="shared" si="8"/>
        <v>8.1603859307108992E-2</v>
      </c>
      <c r="T27" s="85">
        <f t="shared" si="8"/>
        <v>0.21502836453755156</v>
      </c>
      <c r="U27" s="85">
        <f t="shared" si="8"/>
        <v>0.15102491525341999</v>
      </c>
      <c r="V27" s="85">
        <f t="shared" si="8"/>
        <v>0.16079676879826341</v>
      </c>
      <c r="W27" s="85">
        <f t="shared" si="8"/>
        <v>0.26649750203823624</v>
      </c>
      <c r="X27" s="85">
        <f t="shared" si="8"/>
        <v>0.22795819018658006</v>
      </c>
      <c r="Y27" s="85">
        <f t="shared" si="8"/>
        <v>0.34124467146505688</v>
      </c>
      <c r="Z27" s="85">
        <f t="shared" si="8"/>
        <v>0.31201929097177467</v>
      </c>
      <c r="AA27" s="85">
        <f t="shared" si="8"/>
        <v>0.45572794778054676</v>
      </c>
      <c r="AB27" s="85">
        <f t="shared" si="8"/>
        <v>9.4825128936507672E-2</v>
      </c>
      <c r="AC27" s="85">
        <f t="shared" si="8"/>
        <v>7.821129802308302E-2</v>
      </c>
      <c r="AD27" s="85">
        <f t="shared" si="8"/>
        <v>0.15231143552311435</v>
      </c>
      <c r="AE27" s="85">
        <f t="shared" si="8"/>
        <v>0.17450008903878189</v>
      </c>
      <c r="AF27" s="85">
        <f t="shared" si="8"/>
        <v>0.1369164669439194</v>
      </c>
      <c r="AG27" s="85">
        <f t="shared" si="8"/>
        <v>4.498697848619207E-2</v>
      </c>
      <c r="AH27" s="85">
        <f t="shared" si="8"/>
        <v>0.13872497952678584</v>
      </c>
      <c r="AI27" s="85">
        <f t="shared" si="8"/>
        <v>0.60454009612187531</v>
      </c>
      <c r="AJ27" s="85">
        <f t="shared" si="8"/>
        <v>0.23755513379489895</v>
      </c>
      <c r="AK27" s="85">
        <f t="shared" si="8"/>
        <v>0.26582058841056239</v>
      </c>
      <c r="AL27" s="85">
        <f t="shared" si="8"/>
        <v>0.21079391550339702</v>
      </c>
      <c r="AM27" s="85">
        <f t="shared" si="8"/>
        <v>8.1759370347283145E-2</v>
      </c>
      <c r="AN27" s="85">
        <f t="shared" si="8"/>
        <v>2.0223346872929614E-2</v>
      </c>
      <c r="AO27" s="85">
        <f t="shared" si="8"/>
        <v>8.1545907543223328E-2</v>
      </c>
    </row>
    <row r="28" spans="1:41" x14ac:dyDescent="0.3">
      <c r="A28" s="87" t="s">
        <v>94</v>
      </c>
      <c r="B28" s="85">
        <f t="shared" ref="B28:AO28" si="9">+B10/B$17</f>
        <v>7.6206385164693538E-2</v>
      </c>
      <c r="C28" s="85">
        <f t="shared" si="9"/>
        <v>5.377592624893366E-2</v>
      </c>
      <c r="D28" s="85">
        <f t="shared" si="9"/>
        <v>0</v>
      </c>
      <c r="E28" s="85">
        <f t="shared" si="9"/>
        <v>0</v>
      </c>
      <c r="F28" s="85">
        <f t="shared" si="9"/>
        <v>3.1702292008575703E-2</v>
      </c>
      <c r="G28" s="85">
        <f t="shared" si="9"/>
        <v>3.518425858883955E-2</v>
      </c>
      <c r="H28" s="85">
        <f t="shared" si="9"/>
        <v>0</v>
      </c>
      <c r="I28" s="85">
        <f t="shared" si="9"/>
        <v>0</v>
      </c>
      <c r="J28" s="85">
        <f t="shared" si="9"/>
        <v>3.8463769754684435E-2</v>
      </c>
      <c r="K28" s="85">
        <f t="shared" si="9"/>
        <v>2.6387966703328822E-3</v>
      </c>
      <c r="L28" s="85">
        <f t="shared" si="9"/>
        <v>0</v>
      </c>
      <c r="M28" s="85">
        <f t="shared" si="9"/>
        <v>4.0590424398123433E-3</v>
      </c>
      <c r="N28" s="85">
        <f t="shared" si="9"/>
        <v>0</v>
      </c>
      <c r="O28" s="85">
        <f t="shared" si="9"/>
        <v>5.568792486903393E-3</v>
      </c>
      <c r="P28" s="85">
        <f t="shared" si="9"/>
        <v>0</v>
      </c>
      <c r="Q28" s="85">
        <f t="shared" si="9"/>
        <v>7.501613138230335E-3</v>
      </c>
      <c r="R28" s="85">
        <f t="shared" si="9"/>
        <v>1.6047657837707327E-2</v>
      </c>
      <c r="S28" s="85">
        <f t="shared" si="9"/>
        <v>6.8819284970840422E-3</v>
      </c>
      <c r="T28" s="85">
        <f t="shared" si="9"/>
        <v>0</v>
      </c>
      <c r="U28" s="85">
        <f t="shared" si="9"/>
        <v>6.3105461874888497E-2</v>
      </c>
      <c r="V28" s="85">
        <f t="shared" si="9"/>
        <v>2.4919042026974128E-3</v>
      </c>
      <c r="W28" s="85">
        <f t="shared" si="9"/>
        <v>6.2903382215086902E-3</v>
      </c>
      <c r="X28" s="85">
        <f t="shared" si="9"/>
        <v>4.2313243560937172E-2</v>
      </c>
      <c r="Y28" s="85">
        <f t="shared" si="9"/>
        <v>0</v>
      </c>
      <c r="Z28" s="85">
        <f t="shared" si="9"/>
        <v>8.4323328267040725E-4</v>
      </c>
      <c r="AA28" s="85">
        <f t="shared" si="9"/>
        <v>1.3500777978773196E-2</v>
      </c>
      <c r="AB28" s="85">
        <f t="shared" si="9"/>
        <v>0</v>
      </c>
      <c r="AC28" s="85">
        <f t="shared" si="9"/>
        <v>0</v>
      </c>
      <c r="AD28" s="85">
        <f t="shared" si="9"/>
        <v>3.1630170316301706E-2</v>
      </c>
      <c r="AE28" s="85">
        <f t="shared" si="9"/>
        <v>5.2361703928932458E-3</v>
      </c>
      <c r="AF28" s="85">
        <f t="shared" si="9"/>
        <v>0</v>
      </c>
      <c r="AG28" s="85">
        <f t="shared" si="9"/>
        <v>0</v>
      </c>
      <c r="AH28" s="85">
        <f t="shared" si="9"/>
        <v>0</v>
      </c>
      <c r="AI28" s="85">
        <f t="shared" si="9"/>
        <v>3.4035607411661579E-3</v>
      </c>
      <c r="AJ28" s="85">
        <f t="shared" si="9"/>
        <v>2.6036088544841265E-2</v>
      </c>
      <c r="AK28" s="85">
        <f t="shared" si="9"/>
        <v>5.1516157979788063E-2</v>
      </c>
      <c r="AL28" s="85">
        <f t="shared" si="9"/>
        <v>1.6361208611043815E-2</v>
      </c>
      <c r="AM28" s="85">
        <f t="shared" si="9"/>
        <v>1.0125014972817901E-2</v>
      </c>
      <c r="AN28" s="85">
        <f t="shared" si="9"/>
        <v>0.12696793480078786</v>
      </c>
      <c r="AO28" s="85">
        <f t="shared" si="9"/>
        <v>6.7247060495966892E-3</v>
      </c>
    </row>
    <row r="29" spans="1:41" ht="15" thickBot="1" x14ac:dyDescent="0.35">
      <c r="A29" s="87" t="s">
        <v>95</v>
      </c>
      <c r="B29" s="85">
        <f t="shared" ref="B29:AO29" si="10">+B11/B$17</f>
        <v>0.14992684724324834</v>
      </c>
      <c r="C29" s="85">
        <f t="shared" si="10"/>
        <v>0</v>
      </c>
      <c r="D29" s="85">
        <f t="shared" si="10"/>
        <v>3.4647076903360621E-2</v>
      </c>
      <c r="E29" s="85">
        <f t="shared" si="10"/>
        <v>0.32065320381047935</v>
      </c>
      <c r="F29" s="85">
        <f t="shared" si="10"/>
        <v>3.7825395380083761E-2</v>
      </c>
      <c r="G29" s="85">
        <f t="shared" si="10"/>
        <v>0.1071628949834946</v>
      </c>
      <c r="H29" s="85">
        <f t="shared" si="10"/>
        <v>0</v>
      </c>
      <c r="I29" s="85">
        <f t="shared" si="10"/>
        <v>0.27783935011019611</v>
      </c>
      <c r="J29" s="85">
        <f t="shared" si="10"/>
        <v>0</v>
      </c>
      <c r="K29" s="85">
        <f t="shared" si="10"/>
        <v>0.19747230486694342</v>
      </c>
      <c r="L29" s="85">
        <f t="shared" si="10"/>
        <v>0.44004869168441429</v>
      </c>
      <c r="M29" s="85">
        <f t="shared" si="10"/>
        <v>0.36436770223153975</v>
      </c>
      <c r="N29" s="85">
        <f t="shared" si="10"/>
        <v>0.49281958299179712</v>
      </c>
      <c r="O29" s="85">
        <f t="shared" si="10"/>
        <v>0.54824010246578181</v>
      </c>
      <c r="P29" s="85">
        <f t="shared" si="10"/>
        <v>0</v>
      </c>
      <c r="Q29" s="85">
        <f t="shared" si="10"/>
        <v>1.6876548092333951E-2</v>
      </c>
      <c r="R29" s="85">
        <f t="shared" si="10"/>
        <v>1.1840090115773187E-2</v>
      </c>
      <c r="S29" s="85">
        <f t="shared" si="10"/>
        <v>0.20214380710072857</v>
      </c>
      <c r="T29" s="85">
        <f t="shared" si="10"/>
        <v>0.24201823849445295</v>
      </c>
      <c r="U29" s="85">
        <f t="shared" si="10"/>
        <v>0.13057965214120734</v>
      </c>
      <c r="V29" s="85">
        <f t="shared" si="10"/>
        <v>0.35998629941994947</v>
      </c>
      <c r="W29" s="85">
        <f t="shared" si="10"/>
        <v>0</v>
      </c>
      <c r="X29" s="85">
        <f t="shared" si="10"/>
        <v>7.1178564638158096E-2</v>
      </c>
      <c r="Y29" s="85">
        <f t="shared" si="10"/>
        <v>0.10635226375667518</v>
      </c>
      <c r="Z29" s="85">
        <f t="shared" si="10"/>
        <v>1.8972748860084162E-3</v>
      </c>
      <c r="AA29" s="85">
        <f t="shared" si="10"/>
        <v>3.2213381234898988E-2</v>
      </c>
      <c r="AB29" s="85">
        <f t="shared" si="10"/>
        <v>0.46338344284864313</v>
      </c>
      <c r="AC29" s="85">
        <f t="shared" si="10"/>
        <v>0.32973408049682046</v>
      </c>
      <c r="AD29" s="85">
        <f t="shared" si="10"/>
        <v>0</v>
      </c>
      <c r="AE29" s="85">
        <f t="shared" si="10"/>
        <v>8.1658780564121056E-2</v>
      </c>
      <c r="AF29" s="85">
        <f t="shared" si="10"/>
        <v>4.5112722587752029E-2</v>
      </c>
      <c r="AG29" s="85">
        <f t="shared" si="10"/>
        <v>0.45548059373182975</v>
      </c>
      <c r="AH29" s="85">
        <f t="shared" si="10"/>
        <v>0.30046528779062165</v>
      </c>
      <c r="AI29" s="85">
        <f t="shared" si="10"/>
        <v>2.0403228244113291E-2</v>
      </c>
      <c r="AJ29" s="85">
        <f t="shared" si="10"/>
        <v>2.6674953685611662E-2</v>
      </c>
      <c r="AK29" s="85">
        <f t="shared" si="10"/>
        <v>8.347150313554895E-3</v>
      </c>
      <c r="AL29" s="85">
        <f t="shared" si="10"/>
        <v>5.0080222256026374E-2</v>
      </c>
      <c r="AM29" s="85">
        <f t="shared" si="10"/>
        <v>7.6817608017110059E-2</v>
      </c>
      <c r="AN29" s="85">
        <f t="shared" si="10"/>
        <v>0</v>
      </c>
      <c r="AO29" s="85">
        <f t="shared" si="10"/>
        <v>3.3281254790369245E-2</v>
      </c>
    </row>
    <row r="30" spans="1:41" s="111" customFormat="1" ht="15" thickBot="1" x14ac:dyDescent="0.35">
      <c r="A30" s="145" t="s">
        <v>107</v>
      </c>
      <c r="B30" s="153">
        <f t="shared" ref="B30:AO30" si="11">+B12/B$17</f>
        <v>0.56434008831576821</v>
      </c>
      <c r="C30" s="153">
        <f t="shared" si="11"/>
        <v>0.14109308595659159</v>
      </c>
      <c r="D30" s="153">
        <f t="shared" si="11"/>
        <v>0.71174571247663598</v>
      </c>
      <c r="E30" s="153">
        <f t="shared" si="11"/>
        <v>0.89293249918883755</v>
      </c>
      <c r="F30" s="153">
        <f t="shared" si="11"/>
        <v>0.488205799358086</v>
      </c>
      <c r="G30" s="153">
        <f t="shared" si="11"/>
        <v>0.74381479497475189</v>
      </c>
      <c r="H30" s="153">
        <f t="shared" si="11"/>
        <v>0.5585788759183703</v>
      </c>
      <c r="I30" s="153">
        <f t="shared" si="11"/>
        <v>0.80709476321651252</v>
      </c>
      <c r="J30" s="153">
        <f t="shared" si="11"/>
        <v>0.97323241643638325</v>
      </c>
      <c r="K30" s="153">
        <f t="shared" si="11"/>
        <v>0.78269863876963841</v>
      </c>
      <c r="L30" s="153">
        <f t="shared" si="11"/>
        <v>0.91693532883324202</v>
      </c>
      <c r="M30" s="153">
        <f t="shared" si="11"/>
        <v>0.79324655488969464</v>
      </c>
      <c r="N30" s="153">
        <f t="shared" si="11"/>
        <v>0.97632341252533916</v>
      </c>
      <c r="O30" s="153">
        <f t="shared" si="11"/>
        <v>0.92631027720653458</v>
      </c>
      <c r="P30" s="153">
        <f t="shared" si="11"/>
        <v>0.9041381363501042</v>
      </c>
      <c r="Q30" s="153">
        <f t="shared" si="11"/>
        <v>0.98686176966467543</v>
      </c>
      <c r="R30" s="153">
        <f t="shared" si="11"/>
        <v>0.73292468223232887</v>
      </c>
      <c r="S30" s="153">
        <f t="shared" si="11"/>
        <v>0.9351240727585125</v>
      </c>
      <c r="T30" s="153">
        <f t="shared" si="11"/>
        <v>0.67412728223198903</v>
      </c>
      <c r="U30" s="153">
        <f t="shared" si="11"/>
        <v>0.91015801680947817</v>
      </c>
      <c r="V30" s="153">
        <f t="shared" si="11"/>
        <v>0.88315273477812173</v>
      </c>
      <c r="W30" s="153">
        <f t="shared" si="11"/>
        <v>0.88392469121170003</v>
      </c>
      <c r="X30" s="153">
        <f t="shared" si="11"/>
        <v>0.82713333006482415</v>
      </c>
      <c r="Y30" s="153">
        <f t="shared" si="11"/>
        <v>0.87083575574645922</v>
      </c>
      <c r="Z30" s="153">
        <f t="shared" si="11"/>
        <v>0.82843361950419259</v>
      </c>
      <c r="AA30" s="153">
        <f t="shared" si="11"/>
        <v>0.97469671477906672</v>
      </c>
      <c r="AB30" s="153">
        <f t="shared" si="11"/>
        <v>0.8930012893042566</v>
      </c>
      <c r="AC30" s="153">
        <f t="shared" si="11"/>
        <v>0.83494048322942038</v>
      </c>
      <c r="AD30" s="153">
        <f t="shared" si="11"/>
        <v>0.81751824817518248</v>
      </c>
      <c r="AE30" s="153">
        <f t="shared" si="11"/>
        <v>0.67214567010109549</v>
      </c>
      <c r="AF30" s="153">
        <f t="shared" si="11"/>
        <v>0.66694517117098029</v>
      </c>
      <c r="AG30" s="153">
        <f t="shared" si="11"/>
        <v>0.76708791091077488</v>
      </c>
      <c r="AH30" s="153">
        <f t="shared" si="11"/>
        <v>0.90044998373103158</v>
      </c>
      <c r="AI30" s="153">
        <f t="shared" si="11"/>
        <v>0.98209352235287006</v>
      </c>
      <c r="AJ30" s="153">
        <f t="shared" si="11"/>
        <v>0.87045753325144126</v>
      </c>
      <c r="AK30" s="153">
        <f t="shared" si="11"/>
        <v>0.86057454684394463</v>
      </c>
      <c r="AL30" s="153">
        <f t="shared" si="11"/>
        <v>0.89447408567599218</v>
      </c>
      <c r="AM30" s="153">
        <f t="shared" si="11"/>
        <v>0.94069855906873967</v>
      </c>
      <c r="AN30" s="153">
        <f t="shared" si="11"/>
        <v>0.92406232106007336</v>
      </c>
      <c r="AO30" s="153">
        <f t="shared" si="11"/>
        <v>0.4810124825296902</v>
      </c>
    </row>
    <row r="31" spans="1:41" x14ac:dyDescent="0.3">
      <c r="A31" s="87" t="s">
        <v>96</v>
      </c>
      <c r="B31" s="85">
        <f t="shared" ref="B31:AO31" si="12">+B13/B$17</f>
        <v>0.40044206289563905</v>
      </c>
      <c r="C31" s="85">
        <f t="shared" si="12"/>
        <v>0.85890691404340835</v>
      </c>
      <c r="D31" s="85">
        <f t="shared" si="12"/>
        <v>0.28008162884074228</v>
      </c>
      <c r="E31" s="85">
        <f t="shared" si="12"/>
        <v>5.8185971271798732E-2</v>
      </c>
      <c r="F31" s="85">
        <f t="shared" si="12"/>
        <v>0.20368200902443795</v>
      </c>
      <c r="G31" s="85">
        <f t="shared" si="12"/>
        <v>0.18738647287067614</v>
      </c>
      <c r="H31" s="85">
        <f t="shared" si="12"/>
        <v>0.43876267875340769</v>
      </c>
      <c r="I31" s="85">
        <f t="shared" si="12"/>
        <v>0.13210307434908206</v>
      </c>
      <c r="J31" s="85">
        <f t="shared" si="12"/>
        <v>1.1586887542932746E-2</v>
      </c>
      <c r="K31" s="85">
        <f t="shared" si="12"/>
        <v>0.11898467792211742</v>
      </c>
      <c r="L31" s="85">
        <f t="shared" si="12"/>
        <v>7.1075621983331783E-2</v>
      </c>
      <c r="M31" s="85">
        <f t="shared" si="12"/>
        <v>0.19280731665395515</v>
      </c>
      <c r="N31" s="85">
        <f t="shared" si="12"/>
        <v>1.7442039837270072E-2</v>
      </c>
      <c r="O31" s="85">
        <f t="shared" si="12"/>
        <v>6.0903934351891995E-2</v>
      </c>
      <c r="P31" s="85">
        <f t="shared" si="12"/>
        <v>8.9907710628163148E-2</v>
      </c>
      <c r="Q31" s="85">
        <f t="shared" si="12"/>
        <v>1.2950898153737277E-2</v>
      </c>
      <c r="R31" s="85">
        <f t="shared" si="12"/>
        <v>0.23569022901285649</v>
      </c>
      <c r="S31" s="85">
        <f t="shared" si="12"/>
        <v>5.4271919245320419E-2</v>
      </c>
      <c r="T31" s="85">
        <f t="shared" si="12"/>
        <v>0.32587271776801102</v>
      </c>
      <c r="U31" s="85">
        <f t="shared" si="12"/>
        <v>5.3435913261935648E-2</v>
      </c>
      <c r="V31" s="85">
        <f t="shared" si="12"/>
        <v>0.10407102950072951</v>
      </c>
      <c r="W31" s="85">
        <f t="shared" si="12"/>
        <v>0.11458012333573971</v>
      </c>
      <c r="X31" s="85">
        <f t="shared" si="12"/>
        <v>9.1250001494745075E-2</v>
      </c>
      <c r="Y31" s="85">
        <f t="shared" si="12"/>
        <v>9.6230694218713719E-2</v>
      </c>
      <c r="Z31" s="85">
        <f t="shared" si="12"/>
        <v>0.17027855418807777</v>
      </c>
      <c r="AA31" s="85">
        <f t="shared" si="12"/>
        <v>2.4996521233127979E-2</v>
      </c>
      <c r="AB31" s="85">
        <f t="shared" si="12"/>
        <v>9.336836677125826E-2</v>
      </c>
      <c r="AC31" s="85">
        <f t="shared" si="12"/>
        <v>0.15851073743248745</v>
      </c>
      <c r="AD31" s="85">
        <f t="shared" si="12"/>
        <v>0.10316301703163017</v>
      </c>
      <c r="AE31" s="85">
        <f t="shared" si="12"/>
        <v>0.25001957260853908</v>
      </c>
      <c r="AF31" s="85">
        <f t="shared" si="12"/>
        <v>0.33305482882901966</v>
      </c>
      <c r="AG31" s="85">
        <f t="shared" si="12"/>
        <v>0.16223947516418877</v>
      </c>
      <c r="AH31" s="85">
        <f t="shared" si="12"/>
        <v>9.628815365598585E-2</v>
      </c>
      <c r="AI31" s="85">
        <f t="shared" si="12"/>
        <v>1.7567935193301697E-2</v>
      </c>
      <c r="AJ31" s="85">
        <f t="shared" si="12"/>
        <v>6.8359014644994151E-2</v>
      </c>
      <c r="AK31" s="85">
        <f t="shared" si="12"/>
        <v>0.11003055801904815</v>
      </c>
      <c r="AL31" s="85">
        <f t="shared" si="12"/>
        <v>6.5924978575054916E-2</v>
      </c>
      <c r="AM31" s="85">
        <f t="shared" si="12"/>
        <v>4.397626480865053E-2</v>
      </c>
      <c r="AN31" s="85">
        <f t="shared" si="12"/>
        <v>9.4547252245550959E-5</v>
      </c>
      <c r="AO31" s="85">
        <f t="shared" si="12"/>
        <v>0.4893303557605615</v>
      </c>
    </row>
    <row r="32" spans="1:41" x14ac:dyDescent="0.3">
      <c r="A32" s="87" t="s">
        <v>97</v>
      </c>
      <c r="B32" s="85">
        <f t="shared" ref="B32:AO32" si="13">+B14/B$17</f>
        <v>1.4748237133525261E-2</v>
      </c>
      <c r="C32" s="85">
        <f t="shared" si="13"/>
        <v>0</v>
      </c>
      <c r="D32" s="85">
        <f t="shared" si="13"/>
        <v>0</v>
      </c>
      <c r="E32" s="85">
        <f t="shared" si="13"/>
        <v>4.5742771211022555E-2</v>
      </c>
      <c r="F32" s="85">
        <f t="shared" si="13"/>
        <v>0.28663896105254033</v>
      </c>
      <c r="G32" s="85">
        <f t="shared" si="13"/>
        <v>5.6823684413057907E-2</v>
      </c>
      <c r="H32" s="85">
        <f t="shared" si="13"/>
        <v>0</v>
      </c>
      <c r="I32" s="85">
        <f t="shared" si="13"/>
        <v>1.7259753918008301E-2</v>
      </c>
      <c r="J32" s="85">
        <f t="shared" si="13"/>
        <v>1.5180696020684031E-2</v>
      </c>
      <c r="K32" s="85">
        <f t="shared" si="13"/>
        <v>8.8925697467945958E-2</v>
      </c>
      <c r="L32" s="85">
        <f t="shared" si="13"/>
        <v>5.8165900721162921E-3</v>
      </c>
      <c r="M32" s="85">
        <f t="shared" si="13"/>
        <v>4.7133399549263892E-3</v>
      </c>
      <c r="N32" s="85">
        <f t="shared" si="13"/>
        <v>6.2345476373907721E-3</v>
      </c>
      <c r="O32" s="85">
        <f t="shared" si="13"/>
        <v>8.4911356756735262E-3</v>
      </c>
      <c r="P32" s="85">
        <f t="shared" si="13"/>
        <v>0</v>
      </c>
      <c r="Q32" s="85">
        <f t="shared" si="13"/>
        <v>0</v>
      </c>
      <c r="R32" s="85">
        <f t="shared" si="13"/>
        <v>2.0073516542957453E-2</v>
      </c>
      <c r="S32" s="85">
        <f t="shared" si="13"/>
        <v>8.8567050504716749E-3</v>
      </c>
      <c r="T32" s="85">
        <f t="shared" si="13"/>
        <v>0</v>
      </c>
      <c r="U32" s="85">
        <f t="shared" si="13"/>
        <v>0</v>
      </c>
      <c r="V32" s="85">
        <f t="shared" si="13"/>
        <v>6.4036867015408701E-3</v>
      </c>
      <c r="W32" s="85">
        <f t="shared" si="13"/>
        <v>0</v>
      </c>
      <c r="X32" s="85">
        <f t="shared" si="13"/>
        <v>7.3042810694721641E-2</v>
      </c>
      <c r="Y32" s="85">
        <f t="shared" si="13"/>
        <v>2.8334896679823543E-2</v>
      </c>
      <c r="Z32" s="85">
        <f t="shared" si="13"/>
        <v>0</v>
      </c>
      <c r="AA32" s="85">
        <f t="shared" si="13"/>
        <v>0</v>
      </c>
      <c r="AB32" s="85">
        <f t="shared" si="13"/>
        <v>1.3364600792915226E-2</v>
      </c>
      <c r="AC32" s="85">
        <f t="shared" si="13"/>
        <v>0</v>
      </c>
      <c r="AD32" s="85">
        <f t="shared" si="13"/>
        <v>3.2603406326034062E-2</v>
      </c>
      <c r="AE32" s="85">
        <f t="shared" si="13"/>
        <v>0</v>
      </c>
      <c r="AF32" s="85">
        <f t="shared" si="13"/>
        <v>0</v>
      </c>
      <c r="AG32" s="85">
        <f t="shared" si="13"/>
        <v>4.3561827374092595E-2</v>
      </c>
      <c r="AH32" s="85">
        <f t="shared" si="13"/>
        <v>0</v>
      </c>
      <c r="AI32" s="85">
        <f t="shared" si="13"/>
        <v>0</v>
      </c>
      <c r="AJ32" s="85">
        <f t="shared" si="13"/>
        <v>4.7160873533599997E-2</v>
      </c>
      <c r="AK32" s="85">
        <f t="shared" si="13"/>
        <v>1.6087215232913975E-2</v>
      </c>
      <c r="AL32" s="85">
        <f t="shared" si="13"/>
        <v>2.4348378058101822E-2</v>
      </c>
      <c r="AM32" s="85">
        <f t="shared" si="13"/>
        <v>1.2513509018302955E-2</v>
      </c>
      <c r="AN32" s="85">
        <f t="shared" si="13"/>
        <v>0</v>
      </c>
      <c r="AO32" s="85">
        <f t="shared" si="13"/>
        <v>0</v>
      </c>
    </row>
    <row r="33" spans="1:41" ht="15" thickBot="1" x14ac:dyDescent="0.35">
      <c r="A33" s="87" t="s">
        <v>98</v>
      </c>
      <c r="B33" s="85">
        <f t="shared" ref="B33:AO33" si="14">+B15/B$17</f>
        <v>2.0469611655067506E-2</v>
      </c>
      <c r="C33" s="85">
        <f t="shared" si="14"/>
        <v>0</v>
      </c>
      <c r="D33" s="85">
        <f t="shared" si="14"/>
        <v>8.1726586826217241E-3</v>
      </c>
      <c r="E33" s="85">
        <f t="shared" si="14"/>
        <v>3.1387583283411565E-3</v>
      </c>
      <c r="F33" s="85">
        <f t="shared" si="14"/>
        <v>2.147323056493574E-2</v>
      </c>
      <c r="G33" s="85">
        <f t="shared" si="14"/>
        <v>1.1975047741514068E-2</v>
      </c>
      <c r="H33" s="85">
        <f t="shared" si="14"/>
        <v>2.6584453282219762E-3</v>
      </c>
      <c r="I33" s="85">
        <f t="shared" si="14"/>
        <v>4.3542408516397166E-2</v>
      </c>
      <c r="J33" s="85">
        <f t="shared" si="14"/>
        <v>0</v>
      </c>
      <c r="K33" s="85">
        <f t="shared" si="14"/>
        <v>9.390985840298299E-3</v>
      </c>
      <c r="L33" s="85">
        <f t="shared" si="14"/>
        <v>6.1724591113098857E-3</v>
      </c>
      <c r="M33" s="85">
        <f t="shared" si="14"/>
        <v>9.2327885014238196E-3</v>
      </c>
      <c r="N33" s="85">
        <f t="shared" si="14"/>
        <v>0</v>
      </c>
      <c r="O33" s="85">
        <f t="shared" si="14"/>
        <v>4.2946527658998968E-3</v>
      </c>
      <c r="P33" s="85">
        <f t="shared" si="14"/>
        <v>5.9541530217326584E-3</v>
      </c>
      <c r="Q33" s="85">
        <f t="shared" si="14"/>
        <v>1.8733218158732801E-4</v>
      </c>
      <c r="R33" s="85">
        <f t="shared" si="14"/>
        <v>1.1311572211857345E-2</v>
      </c>
      <c r="S33" s="85">
        <f t="shared" si="14"/>
        <v>1.7473029456954519E-3</v>
      </c>
      <c r="T33" s="85">
        <f t="shared" si="14"/>
        <v>0</v>
      </c>
      <c r="U33" s="85">
        <f t="shared" si="14"/>
        <v>3.6406069928586242E-2</v>
      </c>
      <c r="V33" s="85">
        <f t="shared" si="14"/>
        <v>6.372549019607843E-3</v>
      </c>
      <c r="W33" s="85">
        <f t="shared" si="14"/>
        <v>1.4951854525602762E-3</v>
      </c>
      <c r="X33" s="85">
        <f t="shared" si="14"/>
        <v>8.5738577457091843E-3</v>
      </c>
      <c r="Y33" s="85">
        <f t="shared" si="14"/>
        <v>4.5986533550034826E-3</v>
      </c>
      <c r="Z33" s="85">
        <f t="shared" si="14"/>
        <v>1.2878263077296002E-3</v>
      </c>
      <c r="AA33" s="85">
        <f t="shared" si="14"/>
        <v>3.0676398780534088E-4</v>
      </c>
      <c r="AB33" s="85">
        <f t="shared" si="14"/>
        <v>2.6574313156993532E-4</v>
      </c>
      <c r="AC33" s="85">
        <f t="shared" si="14"/>
        <v>6.5487793380922046E-3</v>
      </c>
      <c r="AD33" s="85">
        <f t="shared" si="14"/>
        <v>4.6715328467153282E-2</v>
      </c>
      <c r="AE33" s="85">
        <f t="shared" si="14"/>
        <v>7.7834757290365417E-2</v>
      </c>
      <c r="AF33" s="85">
        <f t="shared" si="14"/>
        <v>0</v>
      </c>
      <c r="AG33" s="85">
        <f t="shared" si="14"/>
        <v>2.7110786550943747E-2</v>
      </c>
      <c r="AH33" s="85">
        <f t="shared" si="14"/>
        <v>3.26186261298259E-3</v>
      </c>
      <c r="AI33" s="85">
        <f t="shared" si="14"/>
        <v>3.3854245382825015E-4</v>
      </c>
      <c r="AJ33" s="85">
        <f t="shared" si="14"/>
        <v>1.4022578569964625E-2</v>
      </c>
      <c r="AK33" s="85">
        <f t="shared" si="14"/>
        <v>1.3307679904093215E-2</v>
      </c>
      <c r="AL33" s="85">
        <f t="shared" si="14"/>
        <v>1.5252557690851033E-2</v>
      </c>
      <c r="AM33" s="85">
        <f t="shared" si="14"/>
        <v>2.8116671043068226E-3</v>
      </c>
      <c r="AN33" s="85">
        <f t="shared" si="14"/>
        <v>7.5843131687681101E-2</v>
      </c>
      <c r="AO33" s="85">
        <f t="shared" si="14"/>
        <v>2.9657161709748275E-2</v>
      </c>
    </row>
    <row r="34" spans="1:41" s="111" customFormat="1" ht="15" thickBot="1" x14ac:dyDescent="0.35">
      <c r="A34" s="147" t="s">
        <v>111</v>
      </c>
      <c r="B34" s="153">
        <f t="shared" ref="B34:AO34" si="15">+B16/B$17</f>
        <v>0.43565991168423179</v>
      </c>
      <c r="C34" s="153">
        <f t="shared" si="15"/>
        <v>0.85890691404340835</v>
      </c>
      <c r="D34" s="153">
        <f t="shared" si="15"/>
        <v>0.28825428752336402</v>
      </c>
      <c r="E34" s="153">
        <f t="shared" si="15"/>
        <v>0.10706750081116244</v>
      </c>
      <c r="F34" s="153">
        <f t="shared" si="15"/>
        <v>0.51179420064191405</v>
      </c>
      <c r="G34" s="153">
        <f t="shared" si="15"/>
        <v>0.25618520502524811</v>
      </c>
      <c r="H34" s="153">
        <f t="shared" si="15"/>
        <v>0.44142112408162965</v>
      </c>
      <c r="I34" s="153">
        <f t="shared" si="15"/>
        <v>0.19290523678348753</v>
      </c>
      <c r="J34" s="153">
        <f t="shared" si="15"/>
        <v>2.6767583563616779E-2</v>
      </c>
      <c r="K34" s="153">
        <f t="shared" si="15"/>
        <v>0.21730136123036164</v>
      </c>
      <c r="L34" s="153">
        <f t="shared" si="15"/>
        <v>8.3064671166757961E-2</v>
      </c>
      <c r="M34" s="153">
        <f t="shared" si="15"/>
        <v>0.20675344511030536</v>
      </c>
      <c r="N34" s="153">
        <f t="shared" si="15"/>
        <v>2.3676587474660844E-2</v>
      </c>
      <c r="O34" s="153">
        <f t="shared" si="15"/>
        <v>7.3689722793465418E-2</v>
      </c>
      <c r="P34" s="153">
        <f t="shared" si="15"/>
        <v>9.5861863649895795E-2</v>
      </c>
      <c r="Q34" s="153">
        <f t="shared" si="15"/>
        <v>1.3138230335324606E-2</v>
      </c>
      <c r="R34" s="153">
        <f t="shared" si="15"/>
        <v>0.26707531776767124</v>
      </c>
      <c r="S34" s="153">
        <f t="shared" si="15"/>
        <v>6.4875927241487538E-2</v>
      </c>
      <c r="T34" s="153">
        <f t="shared" si="15"/>
        <v>0.32587271776801102</v>
      </c>
      <c r="U34" s="153">
        <f t="shared" si="15"/>
        <v>8.984198319052189E-2</v>
      </c>
      <c r="V34" s="153">
        <f t="shared" si="15"/>
        <v>0.11684726522187823</v>
      </c>
      <c r="W34" s="153">
        <f t="shared" si="15"/>
        <v>0.11607530878829998</v>
      </c>
      <c r="X34" s="153">
        <f t="shared" si="15"/>
        <v>0.17286666993517588</v>
      </c>
      <c r="Y34" s="153">
        <f t="shared" si="15"/>
        <v>0.12916424425354076</v>
      </c>
      <c r="Z34" s="153">
        <f t="shared" si="15"/>
        <v>0.17156638049580739</v>
      </c>
      <c r="AA34" s="153">
        <f t="shared" si="15"/>
        <v>2.5303285220933322E-2</v>
      </c>
      <c r="AB34" s="153">
        <f t="shared" si="15"/>
        <v>0.10699871069574342</v>
      </c>
      <c r="AC34" s="153">
        <f t="shared" si="15"/>
        <v>0.16505951677057965</v>
      </c>
      <c r="AD34" s="153">
        <f t="shared" si="15"/>
        <v>0.18248175182481752</v>
      </c>
      <c r="AE34" s="153">
        <f t="shared" si="15"/>
        <v>0.32785432989890445</v>
      </c>
      <c r="AF34" s="153">
        <f t="shared" si="15"/>
        <v>0.33305482882901966</v>
      </c>
      <c r="AG34" s="153">
        <f t="shared" si="15"/>
        <v>0.23291208908922512</v>
      </c>
      <c r="AH34" s="153">
        <f t="shared" si="15"/>
        <v>9.955001626896845E-2</v>
      </c>
      <c r="AI34" s="153">
        <f t="shared" si="15"/>
        <v>1.7906477647129947E-2</v>
      </c>
      <c r="AJ34" s="153">
        <f t="shared" si="15"/>
        <v>0.12954246674855877</v>
      </c>
      <c r="AK34" s="153">
        <f t="shared" si="15"/>
        <v>0.13942545315605534</v>
      </c>
      <c r="AL34" s="153">
        <f t="shared" si="15"/>
        <v>0.10552591432400776</v>
      </c>
      <c r="AM34" s="153">
        <f t="shared" si="15"/>
        <v>5.9301440931260309E-2</v>
      </c>
      <c r="AN34" s="153">
        <f t="shared" si="15"/>
        <v>7.5937678939926659E-2</v>
      </c>
      <c r="AO34" s="153">
        <f t="shared" si="15"/>
        <v>0.5189875174703098</v>
      </c>
    </row>
    <row r="35" spans="1:41" s="111" customFormat="1" ht="15" thickBot="1" x14ac:dyDescent="0.35">
      <c r="A35" s="149" t="s">
        <v>86</v>
      </c>
      <c r="B35" s="154">
        <f t="shared" ref="B35:AO35" si="16">+B17/B$17</f>
        <v>1</v>
      </c>
      <c r="C35" s="154">
        <f t="shared" si="16"/>
        <v>1</v>
      </c>
      <c r="D35" s="154">
        <f t="shared" si="16"/>
        <v>1</v>
      </c>
      <c r="E35" s="154">
        <f t="shared" si="16"/>
        <v>1</v>
      </c>
      <c r="F35" s="154">
        <f t="shared" si="16"/>
        <v>1</v>
      </c>
      <c r="G35" s="154">
        <f t="shared" si="16"/>
        <v>1</v>
      </c>
      <c r="H35" s="154">
        <f t="shared" si="16"/>
        <v>1</v>
      </c>
      <c r="I35" s="154">
        <f t="shared" si="16"/>
        <v>1</v>
      </c>
      <c r="J35" s="154">
        <f t="shared" si="16"/>
        <v>1</v>
      </c>
      <c r="K35" s="154">
        <f t="shared" si="16"/>
        <v>1</v>
      </c>
      <c r="L35" s="154">
        <f t="shared" si="16"/>
        <v>1</v>
      </c>
      <c r="M35" s="154">
        <f t="shared" si="16"/>
        <v>1</v>
      </c>
      <c r="N35" s="154">
        <f t="shared" si="16"/>
        <v>1</v>
      </c>
      <c r="O35" s="154">
        <f t="shared" si="16"/>
        <v>1</v>
      </c>
      <c r="P35" s="154">
        <f t="shared" si="16"/>
        <v>1</v>
      </c>
      <c r="Q35" s="154">
        <f t="shared" si="16"/>
        <v>1</v>
      </c>
      <c r="R35" s="154">
        <f t="shared" si="16"/>
        <v>1</v>
      </c>
      <c r="S35" s="154">
        <f t="shared" si="16"/>
        <v>1</v>
      </c>
      <c r="T35" s="154">
        <f t="shared" si="16"/>
        <v>1</v>
      </c>
      <c r="U35" s="154">
        <f t="shared" si="16"/>
        <v>1</v>
      </c>
      <c r="V35" s="154">
        <f t="shared" si="16"/>
        <v>1</v>
      </c>
      <c r="W35" s="154">
        <f t="shared" si="16"/>
        <v>1</v>
      </c>
      <c r="X35" s="154">
        <f t="shared" si="16"/>
        <v>1</v>
      </c>
      <c r="Y35" s="154">
        <f t="shared" si="16"/>
        <v>1</v>
      </c>
      <c r="Z35" s="154">
        <f t="shared" si="16"/>
        <v>1</v>
      </c>
      <c r="AA35" s="154">
        <f t="shared" si="16"/>
        <v>1</v>
      </c>
      <c r="AB35" s="154">
        <f t="shared" si="16"/>
        <v>1</v>
      </c>
      <c r="AC35" s="154">
        <f t="shared" si="16"/>
        <v>1</v>
      </c>
      <c r="AD35" s="154">
        <f t="shared" si="16"/>
        <v>1</v>
      </c>
      <c r="AE35" s="154">
        <f t="shared" si="16"/>
        <v>1</v>
      </c>
      <c r="AF35" s="154">
        <f t="shared" si="16"/>
        <v>1</v>
      </c>
      <c r="AG35" s="154">
        <f t="shared" si="16"/>
        <v>1</v>
      </c>
      <c r="AH35" s="154">
        <f t="shared" si="16"/>
        <v>1</v>
      </c>
      <c r="AI35" s="154">
        <f t="shared" si="16"/>
        <v>1</v>
      </c>
      <c r="AJ35" s="154">
        <f t="shared" si="16"/>
        <v>1</v>
      </c>
      <c r="AK35" s="154">
        <f t="shared" si="16"/>
        <v>1</v>
      </c>
      <c r="AL35" s="154">
        <f t="shared" si="16"/>
        <v>1</v>
      </c>
      <c r="AM35" s="154">
        <f t="shared" si="16"/>
        <v>1</v>
      </c>
      <c r="AN35" s="154">
        <f t="shared" si="16"/>
        <v>1</v>
      </c>
      <c r="AO35" s="154">
        <f t="shared" si="16"/>
        <v>1</v>
      </c>
    </row>
    <row r="36" spans="1:41" x14ac:dyDescent="0.3">
      <c r="A36" s="28" t="s">
        <v>121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97"/>
      <c r="P36" s="28"/>
      <c r="Q36" s="28"/>
      <c r="R36" s="28"/>
    </row>
    <row r="37" spans="1:41" x14ac:dyDescent="0.3">
      <c r="A37" s="28" t="s">
        <v>122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97"/>
      <c r="P37" s="28"/>
      <c r="Q37" s="28"/>
      <c r="R37" s="28"/>
    </row>
    <row r="38" spans="1:41" x14ac:dyDescent="0.3">
      <c r="A38" s="28" t="s">
        <v>123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97"/>
      <c r="P38" s="28"/>
      <c r="Q38" s="28"/>
      <c r="R38" s="28"/>
    </row>
    <row r="39" spans="1:41" x14ac:dyDescent="0.3">
      <c r="A39" s="95">
        <v>41008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97"/>
      <c r="P39" s="28"/>
      <c r="Q39" s="28"/>
      <c r="R39" s="28"/>
    </row>
  </sheetData>
  <sortState ref="A5:S118">
    <sortCondition ref="C5:C118"/>
  </sortState>
  <mergeCells count="2">
    <mergeCell ref="A1:AO1"/>
    <mergeCell ref="A21:AO21"/>
  </mergeCells>
  <hyperlinks>
    <hyperlink ref="A1:AO1" location="CONTENIDO!A1" display="EMPRESAS DE TRANSPORTE AÉREO - AEROTAXIS - COSTOS DE OPERACIÓN   -  I SEMESTRE DE 2011  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9" workbookViewId="0">
      <selection activeCell="A37" sqref="A37:XFD37"/>
    </sheetView>
  </sheetViews>
  <sheetFormatPr baseColWidth="10" defaultRowHeight="14.4" x14ac:dyDescent="0.3"/>
  <cols>
    <col min="1" max="1" width="24.1796875" style="96" customWidth="1"/>
    <col min="2" max="2" width="10" style="96" customWidth="1"/>
    <col min="3" max="3" width="9" style="96" customWidth="1"/>
    <col min="4" max="4" width="7.81640625" style="96" customWidth="1"/>
    <col min="5" max="5" width="9" style="96" customWidth="1"/>
    <col min="6" max="6" width="7.81640625" style="96" customWidth="1"/>
    <col min="7" max="7" width="9" style="96" customWidth="1"/>
    <col min="8" max="8" width="10" style="96" customWidth="1"/>
    <col min="9" max="9" width="7.81640625" style="96" customWidth="1"/>
    <col min="10" max="10" width="9" style="97" customWidth="1"/>
    <col min="11" max="12" width="9" style="28" customWidth="1"/>
    <col min="13" max="13" width="7.81640625" style="28" customWidth="1"/>
    <col min="14" max="14" width="9" style="28" customWidth="1"/>
    <col min="15" max="16" width="7.81640625" style="28" customWidth="1"/>
    <col min="17" max="17" width="9" style="28" customWidth="1"/>
    <col min="18" max="20" width="10" style="28" customWidth="1"/>
    <col min="21" max="21" width="9" style="28" customWidth="1"/>
    <col min="22" max="22" width="7.81640625" style="28" customWidth="1"/>
    <col min="23" max="23" width="9" style="28" customWidth="1"/>
    <col min="24" max="16384" width="10.90625" style="28"/>
  </cols>
  <sheetData>
    <row r="1" spans="1:23" x14ac:dyDescent="0.3">
      <c r="A1" s="214" t="s">
        <v>163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3" ht="15" thickBot="1" x14ac:dyDescent="0.35"/>
    <row r="3" spans="1:23" s="119" customFormat="1" ht="15" thickBot="1" x14ac:dyDescent="0.35">
      <c r="A3" s="155" t="s">
        <v>0</v>
      </c>
      <c r="B3" s="155" t="s">
        <v>29</v>
      </c>
      <c r="C3" s="155" t="s">
        <v>39</v>
      </c>
      <c r="D3" s="155" t="s">
        <v>79</v>
      </c>
      <c r="E3" s="155" t="s">
        <v>66</v>
      </c>
      <c r="F3" s="155" t="s">
        <v>80</v>
      </c>
      <c r="G3" s="155" t="s">
        <v>36</v>
      </c>
      <c r="H3" s="155" t="s">
        <v>7</v>
      </c>
      <c r="I3" s="155" t="s">
        <v>74</v>
      </c>
      <c r="J3" s="155" t="s">
        <v>64</v>
      </c>
      <c r="K3" s="155" t="s">
        <v>57</v>
      </c>
      <c r="L3" s="155" t="s">
        <v>58</v>
      </c>
      <c r="M3" s="155" t="s">
        <v>41</v>
      </c>
      <c r="N3" s="155" t="s">
        <v>35</v>
      </c>
      <c r="O3" s="155" t="s">
        <v>68</v>
      </c>
      <c r="P3" s="155" t="s">
        <v>61</v>
      </c>
      <c r="Q3" s="155" t="s">
        <v>9</v>
      </c>
      <c r="R3" s="155" t="s">
        <v>82</v>
      </c>
      <c r="S3" s="155" t="s">
        <v>83</v>
      </c>
      <c r="T3" s="155" t="s">
        <v>37</v>
      </c>
      <c r="U3" s="155" t="s">
        <v>65</v>
      </c>
      <c r="V3" s="155" t="s">
        <v>62</v>
      </c>
      <c r="W3" s="155" t="s">
        <v>67</v>
      </c>
    </row>
    <row r="4" spans="1:23" x14ac:dyDescent="0.3">
      <c r="A4" s="48" t="s">
        <v>87</v>
      </c>
      <c r="B4" s="49">
        <v>3605483</v>
      </c>
      <c r="C4" s="49">
        <v>500950</v>
      </c>
      <c r="D4" s="49">
        <v>51417</v>
      </c>
      <c r="E4" s="49">
        <v>1277045</v>
      </c>
      <c r="F4" s="49">
        <v>153102</v>
      </c>
      <c r="G4" s="49">
        <v>296560</v>
      </c>
      <c r="H4" s="49">
        <v>2589187</v>
      </c>
      <c r="I4" s="49">
        <v>116774</v>
      </c>
      <c r="J4" s="99">
        <v>132545</v>
      </c>
      <c r="K4" s="120">
        <v>510000</v>
      </c>
      <c r="L4" s="120">
        <v>165000</v>
      </c>
      <c r="M4" s="120">
        <v>22334</v>
      </c>
      <c r="N4" s="120">
        <v>412950</v>
      </c>
      <c r="O4" s="120">
        <v>8102</v>
      </c>
      <c r="P4" s="120">
        <v>33758</v>
      </c>
      <c r="Q4" s="120">
        <v>1633370</v>
      </c>
      <c r="R4" s="120">
        <v>1562854</v>
      </c>
      <c r="S4" s="120">
        <v>1715368</v>
      </c>
      <c r="T4" s="120">
        <v>2560035</v>
      </c>
      <c r="U4" s="120">
        <v>134261</v>
      </c>
      <c r="V4" s="120">
        <v>59925</v>
      </c>
      <c r="W4" s="132">
        <v>774486</v>
      </c>
    </row>
    <row r="5" spans="1:23" x14ac:dyDescent="0.3">
      <c r="A5" s="87" t="s">
        <v>89</v>
      </c>
      <c r="B5" s="54">
        <v>689194</v>
      </c>
      <c r="C5" s="54">
        <v>169336</v>
      </c>
      <c r="D5" s="54">
        <v>20846</v>
      </c>
      <c r="E5" s="54">
        <v>596027</v>
      </c>
      <c r="F5" s="54">
        <v>62071</v>
      </c>
      <c r="G5" s="54">
        <v>141686</v>
      </c>
      <c r="H5" s="54">
        <v>249950</v>
      </c>
      <c r="I5" s="54">
        <v>80236</v>
      </c>
      <c r="J5" s="100">
        <v>120805</v>
      </c>
      <c r="K5" s="56">
        <v>83500</v>
      </c>
      <c r="L5" s="56">
        <v>22060</v>
      </c>
      <c r="M5" s="56">
        <v>9080</v>
      </c>
      <c r="N5" s="56">
        <v>110250</v>
      </c>
      <c r="O5" s="56">
        <v>0</v>
      </c>
      <c r="P5" s="56">
        <v>19674</v>
      </c>
      <c r="Q5" s="56">
        <v>236034</v>
      </c>
      <c r="R5" s="56">
        <v>412815</v>
      </c>
      <c r="S5" s="56">
        <v>568136</v>
      </c>
      <c r="T5" s="56">
        <v>941659</v>
      </c>
      <c r="U5" s="56">
        <v>73408</v>
      </c>
      <c r="V5" s="56">
        <v>34925</v>
      </c>
      <c r="W5" s="59">
        <v>669288</v>
      </c>
    </row>
    <row r="6" spans="1:23" x14ac:dyDescent="0.3">
      <c r="A6" s="87" t="s">
        <v>127</v>
      </c>
      <c r="B6" s="54">
        <v>44195</v>
      </c>
      <c r="C6" s="54">
        <v>173404</v>
      </c>
      <c r="D6" s="54">
        <v>1233</v>
      </c>
      <c r="E6" s="54">
        <v>3754</v>
      </c>
      <c r="F6" s="54">
        <v>3670</v>
      </c>
      <c r="G6" s="54">
        <v>38510</v>
      </c>
      <c r="H6" s="54">
        <v>963473</v>
      </c>
      <c r="I6" s="54">
        <v>14791</v>
      </c>
      <c r="J6" s="100">
        <v>60818</v>
      </c>
      <c r="K6" s="56">
        <v>25000</v>
      </c>
      <c r="L6" s="56">
        <v>35532</v>
      </c>
      <c r="M6" s="56">
        <v>72891</v>
      </c>
      <c r="N6" s="56">
        <v>13540</v>
      </c>
      <c r="O6" s="56">
        <v>673</v>
      </c>
      <c r="P6" s="56">
        <v>22017</v>
      </c>
      <c r="Q6" s="56">
        <v>352756</v>
      </c>
      <c r="R6" s="56">
        <v>39018</v>
      </c>
      <c r="S6" s="56">
        <v>661850</v>
      </c>
      <c r="T6" s="56">
        <v>638789</v>
      </c>
      <c r="U6" s="56">
        <v>60818</v>
      </c>
      <c r="V6" s="56">
        <v>67554</v>
      </c>
      <c r="W6" s="59">
        <v>29087</v>
      </c>
    </row>
    <row r="7" spans="1:23" x14ac:dyDescent="0.3">
      <c r="A7" s="87" t="s">
        <v>91</v>
      </c>
      <c r="B7" s="54">
        <v>2540340</v>
      </c>
      <c r="C7" s="54">
        <v>1157148</v>
      </c>
      <c r="D7" s="54">
        <v>24139</v>
      </c>
      <c r="E7" s="54">
        <v>1228626</v>
      </c>
      <c r="F7" s="54">
        <v>71877</v>
      </c>
      <c r="G7" s="54">
        <v>181189</v>
      </c>
      <c r="H7" s="54">
        <v>1698020</v>
      </c>
      <c r="I7" s="54">
        <v>174212</v>
      </c>
      <c r="J7" s="100">
        <v>119000</v>
      </c>
      <c r="K7" s="56">
        <v>34000</v>
      </c>
      <c r="L7" s="56">
        <v>170800</v>
      </c>
      <c r="M7" s="56">
        <v>88381</v>
      </c>
      <c r="N7" s="56">
        <v>777780</v>
      </c>
      <c r="O7" s="56">
        <v>201634</v>
      </c>
      <c r="P7" s="56">
        <v>78885</v>
      </c>
      <c r="Q7" s="56">
        <v>982323</v>
      </c>
      <c r="R7" s="56">
        <v>2735787</v>
      </c>
      <c r="S7" s="56">
        <v>1799263</v>
      </c>
      <c r="T7" s="56">
        <v>2307414</v>
      </c>
      <c r="U7" s="56">
        <v>107690</v>
      </c>
      <c r="V7" s="56">
        <v>117008</v>
      </c>
      <c r="W7" s="59">
        <v>520134</v>
      </c>
    </row>
    <row r="8" spans="1:23" x14ac:dyDescent="0.3">
      <c r="A8" s="87" t="s">
        <v>92</v>
      </c>
      <c r="B8" s="54">
        <v>22041</v>
      </c>
      <c r="C8" s="54">
        <v>7109</v>
      </c>
      <c r="D8" s="54">
        <v>0</v>
      </c>
      <c r="E8" s="54">
        <v>0</v>
      </c>
      <c r="F8" s="54">
        <v>0</v>
      </c>
      <c r="G8" s="54">
        <v>16743</v>
      </c>
      <c r="H8" s="54">
        <v>51424</v>
      </c>
      <c r="I8" s="54">
        <v>3272</v>
      </c>
      <c r="J8" s="100">
        <v>0</v>
      </c>
      <c r="K8" s="56">
        <v>0</v>
      </c>
      <c r="L8" s="56">
        <v>9524</v>
      </c>
      <c r="M8" s="56">
        <v>0</v>
      </c>
      <c r="N8" s="56">
        <v>23200</v>
      </c>
      <c r="O8" s="56">
        <v>0</v>
      </c>
      <c r="P8" s="56">
        <v>0</v>
      </c>
      <c r="Q8" s="56">
        <v>75778</v>
      </c>
      <c r="R8" s="56">
        <v>3135</v>
      </c>
      <c r="S8" s="56">
        <v>82841</v>
      </c>
      <c r="T8" s="56">
        <v>17577</v>
      </c>
      <c r="U8" s="56">
        <v>0</v>
      </c>
      <c r="V8" s="56">
        <v>0</v>
      </c>
      <c r="W8" s="59">
        <v>0</v>
      </c>
    </row>
    <row r="9" spans="1:23" x14ac:dyDescent="0.3">
      <c r="A9" s="87" t="s">
        <v>93</v>
      </c>
      <c r="B9" s="54">
        <v>660588</v>
      </c>
      <c r="C9" s="54">
        <v>3643860</v>
      </c>
      <c r="D9" s="54">
        <v>32427</v>
      </c>
      <c r="E9" s="54">
        <v>584256</v>
      </c>
      <c r="F9" s="54">
        <v>96556</v>
      </c>
      <c r="G9" s="54">
        <v>548846</v>
      </c>
      <c r="H9" s="54">
        <v>1575458</v>
      </c>
      <c r="I9" s="54">
        <v>119737</v>
      </c>
      <c r="J9" s="100">
        <v>985000</v>
      </c>
      <c r="K9" s="56">
        <v>870000</v>
      </c>
      <c r="L9" s="56">
        <v>386820</v>
      </c>
      <c r="M9" s="56">
        <v>150000</v>
      </c>
      <c r="N9" s="56">
        <v>362500</v>
      </c>
      <c r="O9" s="56">
        <v>286709</v>
      </c>
      <c r="P9" s="56">
        <v>150000</v>
      </c>
      <c r="Q9" s="56">
        <v>1201090</v>
      </c>
      <c r="R9" s="56">
        <v>786800</v>
      </c>
      <c r="S9" s="56">
        <v>1894134</v>
      </c>
      <c r="T9" s="56">
        <v>1792766</v>
      </c>
      <c r="U9" s="56">
        <v>660000</v>
      </c>
      <c r="V9" s="56">
        <v>150000</v>
      </c>
      <c r="W9" s="59">
        <v>175628</v>
      </c>
    </row>
    <row r="10" spans="1:23" x14ac:dyDescent="0.3">
      <c r="A10" s="87" t="s">
        <v>94</v>
      </c>
      <c r="B10" s="54">
        <v>1942569</v>
      </c>
      <c r="C10" s="54">
        <v>0</v>
      </c>
      <c r="D10" s="54">
        <v>0</v>
      </c>
      <c r="E10" s="54">
        <v>260639</v>
      </c>
      <c r="F10" s="54">
        <v>0</v>
      </c>
      <c r="G10" s="54">
        <v>214613</v>
      </c>
      <c r="H10" s="54">
        <v>0</v>
      </c>
      <c r="I10" s="54">
        <v>67212</v>
      </c>
      <c r="J10" s="100">
        <v>18935</v>
      </c>
      <c r="K10" s="56">
        <v>0</v>
      </c>
      <c r="L10" s="56">
        <v>53845</v>
      </c>
      <c r="M10" s="56">
        <v>4095</v>
      </c>
      <c r="N10" s="56">
        <v>130870</v>
      </c>
      <c r="O10" s="56">
        <v>0</v>
      </c>
      <c r="P10" s="56">
        <v>8874</v>
      </c>
      <c r="Q10" s="56">
        <v>0</v>
      </c>
      <c r="R10" s="56">
        <v>0</v>
      </c>
      <c r="S10" s="56">
        <v>0</v>
      </c>
      <c r="T10" s="56">
        <v>0</v>
      </c>
      <c r="U10" s="56">
        <v>18935</v>
      </c>
      <c r="V10" s="56">
        <v>15753</v>
      </c>
      <c r="W10" s="59">
        <v>291344</v>
      </c>
    </row>
    <row r="11" spans="1:23" ht="15" thickBot="1" x14ac:dyDescent="0.35">
      <c r="A11" s="87" t="s">
        <v>95</v>
      </c>
      <c r="B11" s="54">
        <v>684332</v>
      </c>
      <c r="C11" s="54">
        <v>2974599</v>
      </c>
      <c r="D11" s="54">
        <v>60692</v>
      </c>
      <c r="E11" s="54">
        <v>0</v>
      </c>
      <c r="F11" s="54">
        <v>180719</v>
      </c>
      <c r="G11" s="54">
        <v>0</v>
      </c>
      <c r="H11" s="54">
        <v>0</v>
      </c>
      <c r="I11" s="54">
        <v>0</v>
      </c>
      <c r="J11" s="100">
        <v>600000</v>
      </c>
      <c r="K11" s="56">
        <v>0</v>
      </c>
      <c r="L11" s="56">
        <v>0</v>
      </c>
      <c r="M11" s="56">
        <v>0</v>
      </c>
      <c r="N11" s="56">
        <v>238540</v>
      </c>
      <c r="O11" s="56">
        <v>0</v>
      </c>
      <c r="P11" s="56">
        <v>42596</v>
      </c>
      <c r="Q11" s="56">
        <v>0</v>
      </c>
      <c r="R11" s="56">
        <v>3236953</v>
      </c>
      <c r="S11" s="56">
        <v>3330000</v>
      </c>
      <c r="T11" s="56">
        <v>9949390</v>
      </c>
      <c r="U11" s="56">
        <v>400000</v>
      </c>
      <c r="V11" s="56">
        <v>75614</v>
      </c>
      <c r="W11" s="59">
        <v>352215</v>
      </c>
    </row>
    <row r="12" spans="1:23" ht="15" thickBot="1" x14ac:dyDescent="0.35">
      <c r="A12" s="145" t="s">
        <v>107</v>
      </c>
      <c r="B12" s="151">
        <f>SUM(B4:B11)</f>
        <v>10188742</v>
      </c>
      <c r="C12" s="151">
        <f t="shared" ref="C12:L12" si="0">SUM(C4:C11)</f>
        <v>8626406</v>
      </c>
      <c r="D12" s="151">
        <f t="shared" si="0"/>
        <v>190754</v>
      </c>
      <c r="E12" s="151">
        <f t="shared" si="0"/>
        <v>3950347</v>
      </c>
      <c r="F12" s="151">
        <f t="shared" si="0"/>
        <v>567995</v>
      </c>
      <c r="G12" s="151">
        <f t="shared" si="0"/>
        <v>1438147</v>
      </c>
      <c r="H12" s="151">
        <f t="shared" si="0"/>
        <v>7127512</v>
      </c>
      <c r="I12" s="151">
        <f t="shared" si="0"/>
        <v>576234</v>
      </c>
      <c r="J12" s="151">
        <f t="shared" si="0"/>
        <v>2037103</v>
      </c>
      <c r="K12" s="151">
        <f t="shared" si="0"/>
        <v>1522500</v>
      </c>
      <c r="L12" s="151">
        <f t="shared" si="0"/>
        <v>843581</v>
      </c>
      <c r="M12" s="151">
        <f>SUM(M4:M11)</f>
        <v>346781</v>
      </c>
      <c r="N12" s="151">
        <f t="shared" ref="N12" si="1">SUM(N4:N11)</f>
        <v>2069630</v>
      </c>
      <c r="O12" s="151">
        <f t="shared" ref="O12" si="2">SUM(O4:O11)</f>
        <v>497118</v>
      </c>
      <c r="P12" s="151">
        <f t="shared" ref="P12" si="3">SUM(P4:P11)</f>
        <v>355804</v>
      </c>
      <c r="Q12" s="151">
        <f t="shared" ref="Q12" si="4">SUM(Q4:Q11)</f>
        <v>4481351</v>
      </c>
      <c r="R12" s="151">
        <f t="shared" ref="R12" si="5">SUM(R4:R11)</f>
        <v>8777362</v>
      </c>
      <c r="S12" s="151">
        <f t="shared" ref="S12" si="6">SUM(S4:S11)</f>
        <v>10051592</v>
      </c>
      <c r="T12" s="151">
        <f t="shared" ref="T12" si="7">SUM(T4:T11)</f>
        <v>18207630</v>
      </c>
      <c r="U12" s="151">
        <f t="shared" ref="U12" si="8">SUM(U4:U11)</f>
        <v>1455112</v>
      </c>
      <c r="V12" s="151">
        <f t="shared" ref="V12" si="9">SUM(V4:V11)</f>
        <v>520779</v>
      </c>
      <c r="W12" s="151">
        <f t="shared" ref="W12" si="10">SUM(W4:W11)</f>
        <v>2812182</v>
      </c>
    </row>
    <row r="13" spans="1:23" x14ac:dyDescent="0.3">
      <c r="A13" s="87" t="s">
        <v>128</v>
      </c>
      <c r="B13" s="54">
        <v>9221277</v>
      </c>
      <c r="C13" s="54">
        <v>555832</v>
      </c>
      <c r="D13" s="54">
        <v>132161</v>
      </c>
      <c r="E13" s="54">
        <v>150703</v>
      </c>
      <c r="F13" s="54">
        <v>393525</v>
      </c>
      <c r="G13" s="54">
        <v>220647</v>
      </c>
      <c r="H13" s="54">
        <v>4485138</v>
      </c>
      <c r="I13" s="54">
        <v>198005</v>
      </c>
      <c r="J13" s="100">
        <v>126830</v>
      </c>
      <c r="K13" s="56">
        <v>173000</v>
      </c>
      <c r="L13" s="56">
        <v>193850</v>
      </c>
      <c r="M13" s="56">
        <v>5441</v>
      </c>
      <c r="N13" s="56">
        <v>259684</v>
      </c>
      <c r="O13" s="56">
        <v>59131</v>
      </c>
      <c r="P13" s="56">
        <v>11791</v>
      </c>
      <c r="Q13" s="56">
        <v>1594623</v>
      </c>
      <c r="R13" s="56">
        <v>2206975</v>
      </c>
      <c r="S13" s="56">
        <v>930866</v>
      </c>
      <c r="T13" s="56">
        <v>3527444</v>
      </c>
      <c r="U13" s="56">
        <v>126830</v>
      </c>
      <c r="V13" s="56">
        <v>20930</v>
      </c>
      <c r="W13" s="59">
        <v>2380931</v>
      </c>
    </row>
    <row r="14" spans="1:23" x14ac:dyDescent="0.3">
      <c r="A14" s="87" t="s">
        <v>129</v>
      </c>
      <c r="B14" s="54">
        <v>658259</v>
      </c>
      <c r="C14" s="54">
        <v>605533</v>
      </c>
      <c r="D14" s="54">
        <v>0</v>
      </c>
      <c r="E14" s="54">
        <v>140985</v>
      </c>
      <c r="F14" s="54">
        <v>0</v>
      </c>
      <c r="G14" s="54">
        <v>85225</v>
      </c>
      <c r="H14" s="54">
        <v>318020</v>
      </c>
      <c r="I14" s="54">
        <v>0</v>
      </c>
      <c r="J14" s="100">
        <v>2499</v>
      </c>
      <c r="K14" s="56">
        <v>0</v>
      </c>
      <c r="L14" s="56">
        <v>202120</v>
      </c>
      <c r="M14" s="56">
        <v>0</v>
      </c>
      <c r="N14" s="56">
        <v>0</v>
      </c>
      <c r="O14" s="56">
        <v>0</v>
      </c>
      <c r="P14" s="56">
        <v>0</v>
      </c>
      <c r="Q14" s="56">
        <v>4929</v>
      </c>
      <c r="R14" s="56">
        <v>0</v>
      </c>
      <c r="S14" s="56">
        <v>0</v>
      </c>
      <c r="T14" s="56">
        <v>647206</v>
      </c>
      <c r="U14" s="56">
        <v>2499</v>
      </c>
      <c r="V14" s="56">
        <v>0</v>
      </c>
      <c r="W14" s="59">
        <v>0</v>
      </c>
    </row>
    <row r="15" spans="1:23" ht="15" thickBot="1" x14ac:dyDescent="0.35">
      <c r="A15" s="87" t="s">
        <v>98</v>
      </c>
      <c r="B15" s="54">
        <v>0</v>
      </c>
      <c r="C15" s="54">
        <v>30174</v>
      </c>
      <c r="D15" s="54">
        <v>6202</v>
      </c>
      <c r="E15" s="54">
        <v>25165</v>
      </c>
      <c r="F15" s="54">
        <v>18468</v>
      </c>
      <c r="G15" s="54">
        <v>12728</v>
      </c>
      <c r="H15" s="54">
        <v>25321</v>
      </c>
      <c r="I15" s="54">
        <v>85273</v>
      </c>
      <c r="J15" s="100">
        <v>107058</v>
      </c>
      <c r="K15" s="56">
        <v>23000</v>
      </c>
      <c r="L15" s="56">
        <v>0</v>
      </c>
      <c r="M15" s="56">
        <v>956</v>
      </c>
      <c r="N15" s="56">
        <v>96250</v>
      </c>
      <c r="O15" s="56">
        <v>0</v>
      </c>
      <c r="P15" s="56">
        <v>2041</v>
      </c>
      <c r="Q15" s="56">
        <v>0</v>
      </c>
      <c r="R15" s="56">
        <v>65728</v>
      </c>
      <c r="S15" s="56">
        <v>35366</v>
      </c>
      <c r="T15" s="56">
        <v>2240350</v>
      </c>
      <c r="U15" s="56">
        <v>107058</v>
      </c>
      <c r="V15" s="56">
        <v>2941</v>
      </c>
      <c r="W15" s="59">
        <v>41059</v>
      </c>
    </row>
    <row r="16" spans="1:23" ht="15" thickBot="1" x14ac:dyDescent="0.35">
      <c r="A16" s="147" t="s">
        <v>111</v>
      </c>
      <c r="B16" s="156">
        <f t="shared" ref="B16:N16" si="11">SUM(B13:B15)</f>
        <v>9879536</v>
      </c>
      <c r="C16" s="156">
        <f t="shared" si="11"/>
        <v>1191539</v>
      </c>
      <c r="D16" s="156">
        <f t="shared" si="11"/>
        <v>138363</v>
      </c>
      <c r="E16" s="156">
        <f t="shared" si="11"/>
        <v>316853</v>
      </c>
      <c r="F16" s="156">
        <f t="shared" si="11"/>
        <v>411993</v>
      </c>
      <c r="G16" s="156">
        <f t="shared" si="11"/>
        <v>318600</v>
      </c>
      <c r="H16" s="156">
        <f t="shared" si="11"/>
        <v>4828479</v>
      </c>
      <c r="I16" s="156">
        <f t="shared" si="11"/>
        <v>283278</v>
      </c>
      <c r="J16" s="156">
        <f t="shared" si="11"/>
        <v>236387</v>
      </c>
      <c r="K16" s="156">
        <f t="shared" si="11"/>
        <v>196000</v>
      </c>
      <c r="L16" s="156">
        <f t="shared" si="11"/>
        <v>395970</v>
      </c>
      <c r="M16" s="156">
        <f t="shared" si="11"/>
        <v>6397</v>
      </c>
      <c r="N16" s="156">
        <f t="shared" si="11"/>
        <v>355934</v>
      </c>
      <c r="O16" s="156">
        <f t="shared" ref="O16:W16" si="12">SUM(O13:O15)</f>
        <v>59131</v>
      </c>
      <c r="P16" s="156">
        <f t="shared" si="12"/>
        <v>13832</v>
      </c>
      <c r="Q16" s="156">
        <f t="shared" si="12"/>
        <v>1599552</v>
      </c>
      <c r="R16" s="156">
        <f t="shared" si="12"/>
        <v>2272703</v>
      </c>
      <c r="S16" s="156">
        <f t="shared" si="12"/>
        <v>966232</v>
      </c>
      <c r="T16" s="156">
        <f t="shared" si="12"/>
        <v>6415000</v>
      </c>
      <c r="U16" s="156">
        <f t="shared" si="12"/>
        <v>236387</v>
      </c>
      <c r="V16" s="156">
        <f t="shared" si="12"/>
        <v>23871</v>
      </c>
      <c r="W16" s="156">
        <f t="shared" si="12"/>
        <v>2421990</v>
      </c>
    </row>
    <row r="17" spans="1:23" ht="15" thickBot="1" x14ac:dyDescent="0.35">
      <c r="A17" s="149" t="s">
        <v>86</v>
      </c>
      <c r="B17" s="157">
        <f t="shared" ref="B17:N17" si="13">+B12+B16</f>
        <v>20068278</v>
      </c>
      <c r="C17" s="157">
        <f t="shared" si="13"/>
        <v>9817945</v>
      </c>
      <c r="D17" s="157">
        <f t="shared" si="13"/>
        <v>329117</v>
      </c>
      <c r="E17" s="157">
        <f t="shared" si="13"/>
        <v>4267200</v>
      </c>
      <c r="F17" s="157">
        <f t="shared" si="13"/>
        <v>979988</v>
      </c>
      <c r="G17" s="157">
        <f t="shared" si="13"/>
        <v>1756747</v>
      </c>
      <c r="H17" s="157">
        <f t="shared" si="13"/>
        <v>11955991</v>
      </c>
      <c r="I17" s="157">
        <f t="shared" si="13"/>
        <v>859512</v>
      </c>
      <c r="J17" s="157">
        <f t="shared" si="13"/>
        <v>2273490</v>
      </c>
      <c r="K17" s="157">
        <f t="shared" si="13"/>
        <v>1718500</v>
      </c>
      <c r="L17" s="157">
        <f t="shared" si="13"/>
        <v>1239551</v>
      </c>
      <c r="M17" s="157">
        <f t="shared" si="13"/>
        <v>353178</v>
      </c>
      <c r="N17" s="157">
        <f t="shared" si="13"/>
        <v>2425564</v>
      </c>
      <c r="O17" s="157">
        <f t="shared" ref="O17:W17" si="14">+O12+O16</f>
        <v>556249</v>
      </c>
      <c r="P17" s="157">
        <f t="shared" si="14"/>
        <v>369636</v>
      </c>
      <c r="Q17" s="157">
        <f t="shared" si="14"/>
        <v>6080903</v>
      </c>
      <c r="R17" s="157">
        <f t="shared" si="14"/>
        <v>11050065</v>
      </c>
      <c r="S17" s="157">
        <f t="shared" si="14"/>
        <v>11017824</v>
      </c>
      <c r="T17" s="157">
        <f t="shared" si="14"/>
        <v>24622630</v>
      </c>
      <c r="U17" s="157">
        <f t="shared" si="14"/>
        <v>1691499</v>
      </c>
      <c r="V17" s="157">
        <f t="shared" si="14"/>
        <v>544650</v>
      </c>
      <c r="W17" s="157">
        <f t="shared" si="14"/>
        <v>5234172</v>
      </c>
    </row>
    <row r="18" spans="1:23" x14ac:dyDescent="0.3">
      <c r="A18" s="87" t="s">
        <v>1</v>
      </c>
      <c r="B18" s="54">
        <v>113</v>
      </c>
      <c r="C18" s="54">
        <v>3535</v>
      </c>
      <c r="D18" s="54">
        <v>89</v>
      </c>
      <c r="E18" s="54">
        <v>1131</v>
      </c>
      <c r="F18" s="54">
        <v>1176</v>
      </c>
      <c r="G18" s="54">
        <v>77</v>
      </c>
      <c r="H18" s="54">
        <v>115</v>
      </c>
      <c r="I18" s="54">
        <v>1426</v>
      </c>
      <c r="J18" s="100">
        <v>48</v>
      </c>
      <c r="K18" s="56">
        <v>65</v>
      </c>
      <c r="L18" s="56">
        <v>297</v>
      </c>
      <c r="M18" s="56">
        <v>366</v>
      </c>
      <c r="N18" s="56">
        <v>821</v>
      </c>
      <c r="O18" s="56">
        <v>59</v>
      </c>
      <c r="P18" s="56">
        <v>169</v>
      </c>
      <c r="Q18" s="56">
        <v>86</v>
      </c>
      <c r="R18" s="56">
        <v>851</v>
      </c>
      <c r="S18" s="56">
        <v>110</v>
      </c>
      <c r="T18" s="56">
        <v>131</v>
      </c>
      <c r="U18" s="56">
        <v>61</v>
      </c>
      <c r="V18" s="56">
        <v>95</v>
      </c>
      <c r="W18" s="59">
        <v>126</v>
      </c>
    </row>
    <row r="19" spans="1:23" x14ac:dyDescent="0.3">
      <c r="A19" s="87" t="s">
        <v>2</v>
      </c>
      <c r="B19" s="54">
        <v>0</v>
      </c>
      <c r="C19" s="54">
        <v>1737</v>
      </c>
      <c r="D19" s="54">
        <v>0</v>
      </c>
      <c r="E19" s="54">
        <v>2521</v>
      </c>
      <c r="F19" s="54">
        <v>0</v>
      </c>
      <c r="G19" s="54">
        <v>27</v>
      </c>
      <c r="H19" s="54">
        <v>66</v>
      </c>
      <c r="I19" s="54">
        <v>687</v>
      </c>
      <c r="J19" s="100">
        <v>55</v>
      </c>
      <c r="K19" s="56">
        <v>55</v>
      </c>
      <c r="L19" s="56">
        <v>380</v>
      </c>
      <c r="M19" s="56">
        <v>975</v>
      </c>
      <c r="N19" s="56">
        <v>713</v>
      </c>
      <c r="O19" s="56">
        <v>51</v>
      </c>
      <c r="P19" s="56">
        <v>136</v>
      </c>
      <c r="Q19" s="56">
        <v>67</v>
      </c>
      <c r="R19" s="56">
        <v>2299</v>
      </c>
      <c r="S19" s="56">
        <v>96</v>
      </c>
      <c r="T19" s="56">
        <v>0</v>
      </c>
      <c r="U19" s="56">
        <v>80</v>
      </c>
      <c r="V19" s="56">
        <v>235</v>
      </c>
      <c r="W19" s="59">
        <v>44</v>
      </c>
    </row>
    <row r="20" spans="1:23" ht="15" thickBot="1" x14ac:dyDescent="0.35">
      <c r="A20" s="101" t="s">
        <v>85</v>
      </c>
      <c r="B20" s="102">
        <v>1</v>
      </c>
      <c r="C20" s="102">
        <v>5</v>
      </c>
      <c r="D20" s="102">
        <v>1</v>
      </c>
      <c r="E20" s="102">
        <v>4</v>
      </c>
      <c r="F20" s="102">
        <v>5</v>
      </c>
      <c r="G20" s="102">
        <v>1</v>
      </c>
      <c r="H20" s="102">
        <v>1</v>
      </c>
      <c r="I20" s="102">
        <v>3</v>
      </c>
      <c r="J20" s="103">
        <v>1</v>
      </c>
      <c r="K20" s="78">
        <v>1</v>
      </c>
      <c r="L20" s="78">
        <v>1</v>
      </c>
      <c r="M20" s="78">
        <v>1</v>
      </c>
      <c r="N20" s="78">
        <v>4</v>
      </c>
      <c r="O20" s="78">
        <v>1</v>
      </c>
      <c r="P20" s="78">
        <v>1</v>
      </c>
      <c r="Q20" s="78">
        <v>1</v>
      </c>
      <c r="R20" s="78">
        <v>4</v>
      </c>
      <c r="S20" s="78">
        <v>1</v>
      </c>
      <c r="T20" s="78">
        <v>1</v>
      </c>
      <c r="U20" s="78">
        <v>1</v>
      </c>
      <c r="V20" s="78">
        <v>1</v>
      </c>
      <c r="W20" s="80">
        <v>2</v>
      </c>
    </row>
    <row r="22" spans="1:23" ht="15" thickBot="1" x14ac:dyDescent="0.35">
      <c r="A22" s="199" t="s">
        <v>118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</row>
    <row r="23" spans="1:23" x14ac:dyDescent="0.3">
      <c r="A23" s="48" t="s">
        <v>87</v>
      </c>
      <c r="B23" s="85">
        <f>+B4/B$17</f>
        <v>0.17966080597448372</v>
      </c>
      <c r="C23" s="85">
        <f t="shared" ref="C23:W23" si="15">+C4/C$17</f>
        <v>5.1023915900934462E-2</v>
      </c>
      <c r="D23" s="85">
        <f t="shared" si="15"/>
        <v>0.15622711680040838</v>
      </c>
      <c r="E23" s="85">
        <f t="shared" si="15"/>
        <v>0.2992700131233596</v>
      </c>
      <c r="F23" s="85">
        <f t="shared" si="15"/>
        <v>0.15622844361359528</v>
      </c>
      <c r="G23" s="85">
        <f t="shared" si="15"/>
        <v>0.16881201447903427</v>
      </c>
      <c r="H23" s="85">
        <f t="shared" si="15"/>
        <v>0.21655979834712155</v>
      </c>
      <c r="I23" s="85">
        <f t="shared" si="15"/>
        <v>0.1358608140433176</v>
      </c>
      <c r="J23" s="85">
        <f t="shared" si="15"/>
        <v>5.8300234441321493E-2</v>
      </c>
      <c r="K23" s="85">
        <f t="shared" si="15"/>
        <v>0.29677043933663078</v>
      </c>
      <c r="L23" s="85">
        <f t="shared" si="15"/>
        <v>0.13311271581403267</v>
      </c>
      <c r="M23" s="85">
        <f t="shared" si="15"/>
        <v>6.3237234482329027E-2</v>
      </c>
      <c r="N23" s="85">
        <f t="shared" si="15"/>
        <v>0.17024906372291146</v>
      </c>
      <c r="O23" s="85">
        <f t="shared" si="15"/>
        <v>1.4565419443450685E-2</v>
      </c>
      <c r="P23" s="85">
        <f t="shared" si="15"/>
        <v>9.132768453289182E-2</v>
      </c>
      <c r="Q23" s="85">
        <f t="shared" si="15"/>
        <v>0.26860648821400374</v>
      </c>
      <c r="R23" s="85">
        <f t="shared" si="15"/>
        <v>0.14143391916699133</v>
      </c>
      <c r="S23" s="85">
        <f t="shared" si="15"/>
        <v>0.15569027060152713</v>
      </c>
      <c r="T23" s="85">
        <f t="shared" si="15"/>
        <v>0.10397081871432906</v>
      </c>
      <c r="U23" s="85">
        <f t="shared" si="15"/>
        <v>7.9373975391058463E-2</v>
      </c>
      <c r="V23" s="85">
        <f t="shared" si="15"/>
        <v>0.11002478656017627</v>
      </c>
      <c r="W23" s="85">
        <f t="shared" si="15"/>
        <v>0.14796724295647909</v>
      </c>
    </row>
    <row r="24" spans="1:23" x14ac:dyDescent="0.3">
      <c r="A24" s="87" t="s">
        <v>89</v>
      </c>
      <c r="B24" s="85">
        <f t="shared" ref="B24:W24" si="16">+B5/B$17</f>
        <v>3.4342458281672199E-2</v>
      </c>
      <c r="C24" s="85">
        <f t="shared" si="16"/>
        <v>1.724760120371422E-2</v>
      </c>
      <c r="D24" s="85">
        <f t="shared" si="16"/>
        <v>6.3339177253074141E-2</v>
      </c>
      <c r="E24" s="85">
        <f t="shared" si="16"/>
        <v>0.13967636857892762</v>
      </c>
      <c r="F24" s="85">
        <f t="shared" si="16"/>
        <v>6.3338530675885824E-2</v>
      </c>
      <c r="G24" s="85">
        <f t="shared" si="16"/>
        <v>8.0652478700689395E-2</v>
      </c>
      <c r="H24" s="85">
        <f t="shared" si="16"/>
        <v>2.0905837082011856E-2</v>
      </c>
      <c r="I24" s="85">
        <f t="shared" si="16"/>
        <v>9.3350645482552896E-2</v>
      </c>
      <c r="J24" s="85">
        <f t="shared" si="16"/>
        <v>5.3136367435088781E-2</v>
      </c>
      <c r="K24" s="85">
        <f t="shared" si="16"/>
        <v>4.8588885656095433E-2</v>
      </c>
      <c r="L24" s="85">
        <f t="shared" si="16"/>
        <v>1.7796766732470062E-2</v>
      </c>
      <c r="M24" s="85">
        <f t="shared" si="16"/>
        <v>2.5709415648766346E-2</v>
      </c>
      <c r="N24" s="85">
        <f t="shared" si="16"/>
        <v>4.5453346108369021E-2</v>
      </c>
      <c r="O24" s="85">
        <f t="shared" si="16"/>
        <v>0</v>
      </c>
      <c r="P24" s="85">
        <f t="shared" si="16"/>
        <v>5.3225335194623899E-2</v>
      </c>
      <c r="Q24" s="85">
        <f t="shared" si="16"/>
        <v>3.8815616693770642E-2</v>
      </c>
      <c r="R24" s="85">
        <f t="shared" si="16"/>
        <v>3.7358603772918983E-2</v>
      </c>
      <c r="S24" s="85">
        <f t="shared" si="16"/>
        <v>5.1565172941589917E-2</v>
      </c>
      <c r="T24" s="85">
        <f t="shared" si="16"/>
        <v>3.8243640098559739E-2</v>
      </c>
      <c r="U24" s="85">
        <f t="shared" si="16"/>
        <v>4.3398192963755813E-2</v>
      </c>
      <c r="V24" s="85">
        <f t="shared" si="16"/>
        <v>6.4123749196731847E-2</v>
      </c>
      <c r="W24" s="85">
        <f t="shared" si="16"/>
        <v>0.12786893514389669</v>
      </c>
    </row>
    <row r="25" spans="1:23" x14ac:dyDescent="0.3">
      <c r="A25" s="87" t="s">
        <v>90</v>
      </c>
      <c r="B25" s="85">
        <f t="shared" ref="B25:W25" si="17">+B6/B$17</f>
        <v>2.2022318008550609E-3</v>
      </c>
      <c r="C25" s="85">
        <f t="shared" si="17"/>
        <v>1.7661944531162072E-2</v>
      </c>
      <c r="D25" s="85">
        <f t="shared" si="17"/>
        <v>3.7463880626038763E-3</v>
      </c>
      <c r="E25" s="85">
        <f t="shared" si="17"/>
        <v>8.7973378327709038E-4</v>
      </c>
      <c r="F25" s="85">
        <f t="shared" si="17"/>
        <v>3.744943815638559E-3</v>
      </c>
      <c r="G25" s="85">
        <f t="shared" si="17"/>
        <v>2.1921198670041844E-2</v>
      </c>
      <c r="H25" s="85">
        <f t="shared" si="17"/>
        <v>8.0584955274723771E-2</v>
      </c>
      <c r="I25" s="85">
        <f t="shared" si="17"/>
        <v>1.7208602090488558E-2</v>
      </c>
      <c r="J25" s="85">
        <f t="shared" si="17"/>
        <v>2.6750942383736018E-2</v>
      </c>
      <c r="K25" s="85">
        <f t="shared" si="17"/>
        <v>1.4547570555717195E-2</v>
      </c>
      <c r="L25" s="85">
        <f t="shared" si="17"/>
        <v>2.866521829275278E-2</v>
      </c>
      <c r="M25" s="85">
        <f t="shared" si="17"/>
        <v>0.20638601498394576</v>
      </c>
      <c r="N25" s="85">
        <f t="shared" si="17"/>
        <v>5.5822068599303094E-3</v>
      </c>
      <c r="O25" s="85">
        <f t="shared" si="17"/>
        <v>1.2098898155322526E-3</v>
      </c>
      <c r="P25" s="85">
        <f t="shared" si="17"/>
        <v>5.9564003506152E-2</v>
      </c>
      <c r="Q25" s="85">
        <f t="shared" si="17"/>
        <v>5.8010463248632647E-2</v>
      </c>
      <c r="R25" s="85">
        <f t="shared" si="17"/>
        <v>3.5310199532762928E-3</v>
      </c>
      <c r="S25" s="85">
        <f t="shared" si="17"/>
        <v>6.0070845205005996E-2</v>
      </c>
      <c r="T25" s="85">
        <f t="shared" si="17"/>
        <v>2.594316691596308E-2</v>
      </c>
      <c r="U25" s="85">
        <f t="shared" si="17"/>
        <v>3.5955090721306961E-2</v>
      </c>
      <c r="V25" s="85">
        <f t="shared" si="17"/>
        <v>0.12403194712200495</v>
      </c>
      <c r="W25" s="85">
        <f t="shared" si="17"/>
        <v>5.5571349202892069E-3</v>
      </c>
    </row>
    <row r="26" spans="1:23" x14ac:dyDescent="0.3">
      <c r="A26" s="87" t="s">
        <v>91</v>
      </c>
      <c r="B26" s="85">
        <f t="shared" ref="B26:W26" si="18">+B7/B$17</f>
        <v>0.12658485197384647</v>
      </c>
      <c r="C26" s="85">
        <f t="shared" si="18"/>
        <v>0.11786050950580798</v>
      </c>
      <c r="D26" s="85">
        <f t="shared" si="18"/>
        <v>7.3344737585721798E-2</v>
      </c>
      <c r="E26" s="85">
        <f t="shared" si="18"/>
        <v>0.28792322834645667</v>
      </c>
      <c r="F26" s="85">
        <f t="shared" si="18"/>
        <v>7.3344775650314081E-2</v>
      </c>
      <c r="G26" s="85">
        <f t="shared" si="18"/>
        <v>0.10313892666388501</v>
      </c>
      <c r="H26" s="85">
        <f t="shared" si="18"/>
        <v>0.14202252243247757</v>
      </c>
      <c r="I26" s="85">
        <f t="shared" si="18"/>
        <v>0.20268710617187427</v>
      </c>
      <c r="J26" s="85">
        <f t="shared" si="18"/>
        <v>5.2342433879190145E-2</v>
      </c>
      <c r="K26" s="85">
        <f t="shared" si="18"/>
        <v>1.9784695955775384E-2</v>
      </c>
      <c r="L26" s="85">
        <f t="shared" si="18"/>
        <v>0.13779182946082896</v>
      </c>
      <c r="M26" s="85">
        <f t="shared" si="18"/>
        <v>0.25024491899268925</v>
      </c>
      <c r="N26" s="85">
        <f t="shared" si="18"/>
        <v>0.32065944250491846</v>
      </c>
      <c r="O26" s="85">
        <f t="shared" si="18"/>
        <v>0.36248874155279381</v>
      </c>
      <c r="P26" s="85">
        <f t="shared" si="18"/>
        <v>0.21341265461156381</v>
      </c>
      <c r="Q26" s="85">
        <f t="shared" si="18"/>
        <v>0.16154229067623674</v>
      </c>
      <c r="R26" s="85">
        <f t="shared" si="18"/>
        <v>0.24758107757737172</v>
      </c>
      <c r="S26" s="85">
        <f t="shared" si="18"/>
        <v>0.16330475055691576</v>
      </c>
      <c r="T26" s="85">
        <f t="shared" si="18"/>
        <v>9.3711110470327499E-2</v>
      </c>
      <c r="U26" s="85">
        <f t="shared" si="18"/>
        <v>6.3665423390732126E-2</v>
      </c>
      <c r="V26" s="85">
        <f t="shared" si="18"/>
        <v>0.21483154319287615</v>
      </c>
      <c r="W26" s="85">
        <f t="shared" si="18"/>
        <v>9.9372737464492947E-2</v>
      </c>
    </row>
    <row r="27" spans="1:23" x14ac:dyDescent="0.3">
      <c r="A27" s="87" t="s">
        <v>92</v>
      </c>
      <c r="B27" s="85">
        <f t="shared" ref="B27:W27" si="19">+B8/B$17</f>
        <v>1.0983005118824843E-3</v>
      </c>
      <c r="C27" s="85">
        <f t="shared" si="19"/>
        <v>7.2408227994758575E-4</v>
      </c>
      <c r="D27" s="85">
        <f t="shared" si="19"/>
        <v>0</v>
      </c>
      <c r="E27" s="85">
        <f t="shared" si="19"/>
        <v>0</v>
      </c>
      <c r="F27" s="85">
        <f t="shared" si="19"/>
        <v>0</v>
      </c>
      <c r="G27" s="85">
        <f t="shared" si="19"/>
        <v>9.5306837011817861E-3</v>
      </c>
      <c r="H27" s="85">
        <f t="shared" si="19"/>
        <v>4.3011072858786864E-3</v>
      </c>
      <c r="I27" s="85">
        <f t="shared" si="19"/>
        <v>3.8068113068811141E-3</v>
      </c>
      <c r="J27" s="85">
        <f t="shared" si="19"/>
        <v>0</v>
      </c>
      <c r="K27" s="85">
        <f t="shared" si="19"/>
        <v>0</v>
      </c>
      <c r="L27" s="85">
        <f t="shared" si="19"/>
        <v>7.6834273055324063E-3</v>
      </c>
      <c r="M27" s="85">
        <f t="shared" si="19"/>
        <v>0</v>
      </c>
      <c r="N27" s="85">
        <f t="shared" si="19"/>
        <v>9.5647857570445478E-3</v>
      </c>
      <c r="O27" s="85">
        <f t="shared" si="19"/>
        <v>0</v>
      </c>
      <c r="P27" s="85">
        <f t="shared" si="19"/>
        <v>0</v>
      </c>
      <c r="Q27" s="85">
        <f t="shared" si="19"/>
        <v>1.2461636043199505E-2</v>
      </c>
      <c r="R27" s="85">
        <f t="shared" si="19"/>
        <v>2.8370873836488744E-4</v>
      </c>
      <c r="S27" s="85">
        <f t="shared" si="19"/>
        <v>7.5188167826968372E-3</v>
      </c>
      <c r="T27" s="85">
        <f t="shared" si="19"/>
        <v>7.1385550609337836E-4</v>
      </c>
      <c r="U27" s="85">
        <f t="shared" si="19"/>
        <v>0</v>
      </c>
      <c r="V27" s="85">
        <f t="shared" si="19"/>
        <v>0</v>
      </c>
      <c r="W27" s="85">
        <f t="shared" si="19"/>
        <v>0</v>
      </c>
    </row>
    <row r="28" spans="1:23" x14ac:dyDescent="0.3">
      <c r="A28" s="87" t="s">
        <v>126</v>
      </c>
      <c r="B28" s="85">
        <f t="shared" ref="B28:W28" si="20">+B9/B$17</f>
        <v>3.2917024569821089E-2</v>
      </c>
      <c r="C28" s="85">
        <f t="shared" si="20"/>
        <v>0.37114284099167394</v>
      </c>
      <c r="D28" s="85">
        <f t="shared" si="20"/>
        <v>9.8527271456655227E-2</v>
      </c>
      <c r="E28" s="85">
        <f t="shared" si="20"/>
        <v>0.13691788526434195</v>
      </c>
      <c r="F28" s="85">
        <f t="shared" si="20"/>
        <v>9.8527737074331517E-2</v>
      </c>
      <c r="G28" s="85">
        <f t="shared" si="20"/>
        <v>0.31242176591165377</v>
      </c>
      <c r="H28" s="85">
        <f t="shared" si="20"/>
        <v>0.13177142739568806</v>
      </c>
      <c r="I28" s="85">
        <f t="shared" si="20"/>
        <v>0.13930811902567969</v>
      </c>
      <c r="J28" s="85">
        <f t="shared" si="20"/>
        <v>0.4332545997563218</v>
      </c>
      <c r="K28" s="85">
        <f t="shared" si="20"/>
        <v>0.50625545533895844</v>
      </c>
      <c r="L28" s="85">
        <f t="shared" si="20"/>
        <v>0.31206461049202494</v>
      </c>
      <c r="M28" s="85">
        <f t="shared" si="20"/>
        <v>0.42471501622411362</v>
      </c>
      <c r="N28" s="85">
        <f t="shared" si="20"/>
        <v>0.14944977745382104</v>
      </c>
      <c r="O28" s="85">
        <f t="shared" si="20"/>
        <v>0.51543283673318963</v>
      </c>
      <c r="P28" s="85">
        <f t="shared" si="20"/>
        <v>0.40580462941921241</v>
      </c>
      <c r="Q28" s="85">
        <f t="shared" si="20"/>
        <v>0.19751836199327633</v>
      </c>
      <c r="R28" s="85">
        <f t="shared" si="20"/>
        <v>7.1203201067143049E-2</v>
      </c>
      <c r="S28" s="85">
        <f t="shared" si="20"/>
        <v>0.17191543448143662</v>
      </c>
      <c r="T28" s="85">
        <f t="shared" si="20"/>
        <v>7.2809687673493856E-2</v>
      </c>
      <c r="U28" s="85">
        <f t="shared" si="20"/>
        <v>0.39018645591868512</v>
      </c>
      <c r="V28" s="85">
        <f t="shared" si="20"/>
        <v>0.27540622418066646</v>
      </c>
      <c r="W28" s="85">
        <f t="shared" si="20"/>
        <v>3.3554113238922982E-2</v>
      </c>
    </row>
    <row r="29" spans="1:23" x14ac:dyDescent="0.3">
      <c r="A29" s="87" t="s">
        <v>94</v>
      </c>
      <c r="B29" s="85">
        <f t="shared" ref="B29:W29" si="21">+B10/B$17</f>
        <v>9.6797991337373337E-2</v>
      </c>
      <c r="C29" s="85">
        <f t="shared" si="21"/>
        <v>0</v>
      </c>
      <c r="D29" s="85">
        <f t="shared" si="21"/>
        <v>0</v>
      </c>
      <c r="E29" s="85">
        <f t="shared" si="21"/>
        <v>6.1079630671166105E-2</v>
      </c>
      <c r="F29" s="85">
        <f t="shared" si="21"/>
        <v>0</v>
      </c>
      <c r="G29" s="85">
        <f t="shared" si="21"/>
        <v>0.12216500156254714</v>
      </c>
      <c r="H29" s="85">
        <f t="shared" si="21"/>
        <v>0</v>
      </c>
      <c r="I29" s="85">
        <f t="shared" si="21"/>
        <v>7.8197861111886743E-2</v>
      </c>
      <c r="J29" s="85">
        <f t="shared" si="21"/>
        <v>8.3286049201887844E-3</v>
      </c>
      <c r="K29" s="85">
        <f t="shared" si="21"/>
        <v>0</v>
      </c>
      <c r="L29" s="85">
        <f t="shared" si="21"/>
        <v>4.3439116260645991E-2</v>
      </c>
      <c r="M29" s="85">
        <f t="shared" si="21"/>
        <v>1.1594719942918302E-2</v>
      </c>
      <c r="N29" s="85">
        <f t="shared" si="21"/>
        <v>5.3954461725190514E-2</v>
      </c>
      <c r="O29" s="85">
        <f t="shared" si="21"/>
        <v>0</v>
      </c>
      <c r="P29" s="85">
        <f t="shared" si="21"/>
        <v>2.4007401876440605E-2</v>
      </c>
      <c r="Q29" s="85">
        <f t="shared" si="21"/>
        <v>0</v>
      </c>
      <c r="R29" s="85">
        <f t="shared" si="21"/>
        <v>0</v>
      </c>
      <c r="S29" s="85">
        <f t="shared" si="21"/>
        <v>0</v>
      </c>
      <c r="T29" s="85">
        <f t="shared" si="21"/>
        <v>0</v>
      </c>
      <c r="U29" s="85">
        <f t="shared" si="21"/>
        <v>1.1194212943667126E-2</v>
      </c>
      <c r="V29" s="85">
        <f t="shared" si="21"/>
        <v>2.8923161663453593E-2</v>
      </c>
      <c r="W29" s="85">
        <f t="shared" si="21"/>
        <v>5.5661907938829677E-2</v>
      </c>
    </row>
    <row r="30" spans="1:23" ht="15" thickBot="1" x14ac:dyDescent="0.35">
      <c r="A30" s="87" t="s">
        <v>95</v>
      </c>
      <c r="B30" s="85">
        <f t="shared" ref="B30:W30" si="22">+B11/B$17</f>
        <v>3.4100185377140976E-2</v>
      </c>
      <c r="C30" s="85">
        <f t="shared" si="22"/>
        <v>0.30297572455335614</v>
      </c>
      <c r="D30" s="85">
        <f t="shared" si="22"/>
        <v>0.18440858418130937</v>
      </c>
      <c r="E30" s="85">
        <f t="shared" si="22"/>
        <v>0</v>
      </c>
      <c r="F30" s="85">
        <f t="shared" si="22"/>
        <v>0.18440940093143998</v>
      </c>
      <c r="G30" s="85">
        <f t="shared" si="22"/>
        <v>0</v>
      </c>
      <c r="H30" s="85">
        <f t="shared" si="22"/>
        <v>0</v>
      </c>
      <c r="I30" s="85">
        <f t="shared" si="22"/>
        <v>0</v>
      </c>
      <c r="J30" s="85">
        <f t="shared" si="22"/>
        <v>0.2639114313236478</v>
      </c>
      <c r="K30" s="85">
        <f t="shared" si="22"/>
        <v>0</v>
      </c>
      <c r="L30" s="85">
        <f t="shared" si="22"/>
        <v>0</v>
      </c>
      <c r="M30" s="85">
        <f t="shared" si="22"/>
        <v>0</v>
      </c>
      <c r="N30" s="85">
        <f t="shared" si="22"/>
        <v>9.8344137693336484E-2</v>
      </c>
      <c r="O30" s="85">
        <f t="shared" si="22"/>
        <v>0</v>
      </c>
      <c r="P30" s="85">
        <f t="shared" si="22"/>
        <v>0.11523769329827181</v>
      </c>
      <c r="Q30" s="85">
        <f t="shared" si="22"/>
        <v>0</v>
      </c>
      <c r="R30" s="85">
        <f t="shared" si="22"/>
        <v>0.29293519992868822</v>
      </c>
      <c r="S30" s="85">
        <f t="shared" si="22"/>
        <v>0.3022375380111354</v>
      </c>
      <c r="T30" s="85">
        <f t="shared" si="22"/>
        <v>0.40407503178986159</v>
      </c>
      <c r="U30" s="85">
        <f t="shared" si="22"/>
        <v>0.23647663995071827</v>
      </c>
      <c r="V30" s="85">
        <f t="shared" si="22"/>
        <v>0.13883044156797944</v>
      </c>
      <c r="W30" s="85">
        <f t="shared" si="22"/>
        <v>6.7291445523761928E-2</v>
      </c>
    </row>
    <row r="31" spans="1:23" s="111" customFormat="1" ht="15" thickBot="1" x14ac:dyDescent="0.35">
      <c r="A31" s="145" t="s">
        <v>107</v>
      </c>
      <c r="B31" s="153">
        <f>+B12/B$17</f>
        <v>0.50770384982707539</v>
      </c>
      <c r="C31" s="153">
        <f t="shared" ref="C31:W31" si="23">+C12/C$17</f>
        <v>0.87863661896659639</v>
      </c>
      <c r="D31" s="153">
        <f t="shared" si="23"/>
        <v>0.57959327533977278</v>
      </c>
      <c r="E31" s="153">
        <f t="shared" si="23"/>
        <v>0.92574685976752902</v>
      </c>
      <c r="F31" s="153">
        <f t="shared" si="23"/>
        <v>0.57959383176120527</v>
      </c>
      <c r="G31" s="153">
        <f t="shared" si="23"/>
        <v>0.81864206968903319</v>
      </c>
      <c r="H31" s="153">
        <f t="shared" si="23"/>
        <v>0.59614564781790147</v>
      </c>
      <c r="I31" s="153">
        <f t="shared" si="23"/>
        <v>0.67041995923268083</v>
      </c>
      <c r="J31" s="153">
        <f t="shared" si="23"/>
        <v>0.89602461413949475</v>
      </c>
      <c r="K31" s="153">
        <f t="shared" si="23"/>
        <v>0.88594704684317716</v>
      </c>
      <c r="L31" s="153">
        <f t="shared" si="23"/>
        <v>0.68055368435828778</v>
      </c>
      <c r="M31" s="153">
        <f t="shared" si="23"/>
        <v>0.98188732027476233</v>
      </c>
      <c r="N31" s="153">
        <f t="shared" si="23"/>
        <v>0.85325722182552177</v>
      </c>
      <c r="O31" s="153">
        <f t="shared" si="23"/>
        <v>0.89369688754496635</v>
      </c>
      <c r="P31" s="153">
        <f t="shared" si="23"/>
        <v>0.96257940243915641</v>
      </c>
      <c r="Q31" s="153">
        <f t="shared" si="23"/>
        <v>0.73695485686911966</v>
      </c>
      <c r="R31" s="153">
        <f t="shared" si="23"/>
        <v>0.79432673020475442</v>
      </c>
      <c r="S31" s="153">
        <f t="shared" si="23"/>
        <v>0.91230282858030765</v>
      </c>
      <c r="T31" s="153">
        <f t="shared" si="23"/>
        <v>0.73946731116862818</v>
      </c>
      <c r="U31" s="153">
        <f t="shared" si="23"/>
        <v>0.86024999127992385</v>
      </c>
      <c r="V31" s="153">
        <f t="shared" si="23"/>
        <v>0.95617185348388878</v>
      </c>
      <c r="W31" s="153">
        <f t="shared" si="23"/>
        <v>0.53727351718667249</v>
      </c>
    </row>
    <row r="32" spans="1:23" x14ac:dyDescent="0.3">
      <c r="A32" s="87" t="s">
        <v>96</v>
      </c>
      <c r="B32" s="85">
        <f>+B13/B$17</f>
        <v>0.45949517940702239</v>
      </c>
      <c r="C32" s="85">
        <f t="shared" ref="C32:W34" si="24">+C14/C$17</f>
        <v>6.1676145058869244E-2</v>
      </c>
      <c r="D32" s="85">
        <f t="shared" si="24"/>
        <v>0</v>
      </c>
      <c r="E32" s="85">
        <f t="shared" si="24"/>
        <v>3.3039229471316087E-2</v>
      </c>
      <c r="F32" s="85">
        <f t="shared" si="24"/>
        <v>0</v>
      </c>
      <c r="G32" s="85">
        <f t="shared" si="24"/>
        <v>4.8512961741218288E-2</v>
      </c>
      <c r="H32" s="85">
        <f t="shared" si="24"/>
        <v>2.659921707870138E-2</v>
      </c>
      <c r="I32" s="85">
        <f t="shared" si="24"/>
        <v>0</v>
      </c>
      <c r="J32" s="85">
        <f t="shared" si="24"/>
        <v>1.0991911114629929E-3</v>
      </c>
      <c r="K32" s="85">
        <f t="shared" si="24"/>
        <v>0</v>
      </c>
      <c r="L32" s="85">
        <f t="shared" si="24"/>
        <v>0.16305904315352898</v>
      </c>
      <c r="M32" s="85">
        <f t="shared" si="24"/>
        <v>0</v>
      </c>
      <c r="N32" s="85">
        <f t="shared" si="24"/>
        <v>0</v>
      </c>
      <c r="O32" s="85">
        <f t="shared" si="24"/>
        <v>0</v>
      </c>
      <c r="P32" s="85">
        <f t="shared" si="24"/>
        <v>0</v>
      </c>
      <c r="Q32" s="85">
        <f t="shared" si="24"/>
        <v>8.1057040377062418E-4</v>
      </c>
      <c r="R32" s="85">
        <f t="shared" si="24"/>
        <v>0</v>
      </c>
      <c r="S32" s="85">
        <f t="shared" si="24"/>
        <v>0</v>
      </c>
      <c r="T32" s="85">
        <f t="shared" si="24"/>
        <v>2.6285006922493657E-2</v>
      </c>
      <c r="U32" s="85">
        <f t="shared" si="24"/>
        <v>1.4773878080921125E-3</v>
      </c>
      <c r="V32" s="85">
        <f t="shared" si="24"/>
        <v>0</v>
      </c>
      <c r="W32" s="85">
        <f t="shared" si="24"/>
        <v>0</v>
      </c>
    </row>
    <row r="33" spans="1:23" x14ac:dyDescent="0.3">
      <c r="A33" s="87" t="s">
        <v>97</v>
      </c>
      <c r="B33" s="85">
        <f t="shared" ref="B33:B34" si="25">+B14/B$17</f>
        <v>3.2800970765902285E-2</v>
      </c>
      <c r="C33" s="85">
        <f t="shared" si="24"/>
        <v>3.073351908164081E-3</v>
      </c>
      <c r="D33" s="85">
        <f t="shared" si="24"/>
        <v>1.8844362339228905E-2</v>
      </c>
      <c r="E33" s="85">
        <f t="shared" si="24"/>
        <v>5.8973097112860889E-3</v>
      </c>
      <c r="F33" s="85">
        <f t="shared" si="24"/>
        <v>1.8845128715861827E-2</v>
      </c>
      <c r="G33" s="85">
        <f t="shared" si="24"/>
        <v>7.2452094695479767E-3</v>
      </c>
      <c r="H33" s="85">
        <f t="shared" si="24"/>
        <v>2.1178503730891066E-3</v>
      </c>
      <c r="I33" s="85">
        <f t="shared" si="24"/>
        <v>9.9210947607479588E-2</v>
      </c>
      <c r="J33" s="85">
        <f t="shared" si="24"/>
        <v>4.7089716691078476E-2</v>
      </c>
      <c r="K33" s="85">
        <f t="shared" si="24"/>
        <v>1.338376491125982E-2</v>
      </c>
      <c r="L33" s="85">
        <f t="shared" si="24"/>
        <v>0</v>
      </c>
      <c r="M33" s="85">
        <f t="shared" si="24"/>
        <v>2.7068503700683508E-3</v>
      </c>
      <c r="N33" s="85">
        <f t="shared" si="24"/>
        <v>3.9681492634290418E-2</v>
      </c>
      <c r="O33" s="85">
        <f t="shared" si="24"/>
        <v>0</v>
      </c>
      <c r="P33" s="85">
        <f t="shared" si="24"/>
        <v>5.5216483242974167E-3</v>
      </c>
      <c r="Q33" s="85">
        <f t="shared" si="24"/>
        <v>0</v>
      </c>
      <c r="R33" s="85">
        <f t="shared" si="24"/>
        <v>5.9482003047040899E-3</v>
      </c>
      <c r="S33" s="85">
        <f t="shared" si="24"/>
        <v>3.2098897205110554E-3</v>
      </c>
      <c r="T33" s="85">
        <f t="shared" si="24"/>
        <v>9.0987437166541507E-2</v>
      </c>
      <c r="U33" s="85">
        <f t="shared" si="24"/>
        <v>6.329179029960999E-2</v>
      </c>
      <c r="V33" s="85">
        <f t="shared" si="24"/>
        <v>5.3997980354356006E-3</v>
      </c>
      <c r="W33" s="85">
        <f t="shared" si="24"/>
        <v>7.8444116853630327E-3</v>
      </c>
    </row>
    <row r="34" spans="1:23" ht="15" thickBot="1" x14ac:dyDescent="0.35">
      <c r="A34" s="87" t="s">
        <v>98</v>
      </c>
      <c r="B34" s="85">
        <f t="shared" si="25"/>
        <v>0</v>
      </c>
      <c r="C34" s="85">
        <f t="shared" si="24"/>
        <v>0.12136338103340363</v>
      </c>
      <c r="D34" s="85">
        <f t="shared" si="24"/>
        <v>0.42040672466022722</v>
      </c>
      <c r="E34" s="85">
        <f t="shared" si="24"/>
        <v>7.4253140232470941E-2</v>
      </c>
      <c r="F34" s="85">
        <f t="shared" si="24"/>
        <v>0.42040616823879479</v>
      </c>
      <c r="G34" s="85">
        <f t="shared" si="24"/>
        <v>0.18135793031096681</v>
      </c>
      <c r="H34" s="85">
        <f t="shared" si="24"/>
        <v>0.40385435218209847</v>
      </c>
      <c r="I34" s="85">
        <f t="shared" si="24"/>
        <v>0.32958004076731912</v>
      </c>
      <c r="J34" s="85">
        <f t="shared" si="24"/>
        <v>0.10397538586050521</v>
      </c>
      <c r="K34" s="85">
        <f t="shared" si="24"/>
        <v>0.11405295315682282</v>
      </c>
      <c r="L34" s="85">
        <f t="shared" si="24"/>
        <v>0.31944631564171222</v>
      </c>
      <c r="M34" s="85">
        <f t="shared" si="24"/>
        <v>1.8112679725237699E-2</v>
      </c>
      <c r="N34" s="85">
        <f t="shared" si="24"/>
        <v>0.14674277817447817</v>
      </c>
      <c r="O34" s="85">
        <f t="shared" si="24"/>
        <v>0.10630311245503363</v>
      </c>
      <c r="P34" s="85">
        <f t="shared" si="24"/>
        <v>3.7420597560843642E-2</v>
      </c>
      <c r="Q34" s="85">
        <f t="shared" si="24"/>
        <v>0.2630451431308804</v>
      </c>
      <c r="R34" s="85">
        <f t="shared" si="24"/>
        <v>0.20567326979524556</v>
      </c>
      <c r="S34" s="85">
        <f t="shared" si="24"/>
        <v>8.7697171419692313E-2</v>
      </c>
      <c r="T34" s="85">
        <f t="shared" si="24"/>
        <v>0.26053268883137182</v>
      </c>
      <c r="U34" s="85">
        <f t="shared" si="24"/>
        <v>0.13975000872007609</v>
      </c>
      <c r="V34" s="85">
        <f t="shared" si="24"/>
        <v>4.3828146516111263E-2</v>
      </c>
      <c r="W34" s="85">
        <f t="shared" si="24"/>
        <v>0.46272648281332751</v>
      </c>
    </row>
    <row r="35" spans="1:23" s="111" customFormat="1" ht="15" thickBot="1" x14ac:dyDescent="0.35">
      <c r="A35" s="147" t="s">
        <v>111</v>
      </c>
      <c r="B35" s="153">
        <f>+B16/B$17</f>
        <v>0.49229615017292466</v>
      </c>
      <c r="C35" s="153">
        <f t="shared" ref="C35:W35" si="26">+C16/C$17</f>
        <v>0.12136338103340363</v>
      </c>
      <c r="D35" s="153">
        <f t="shared" si="26"/>
        <v>0.42040672466022722</v>
      </c>
      <c r="E35" s="153">
        <f t="shared" si="26"/>
        <v>7.4253140232470941E-2</v>
      </c>
      <c r="F35" s="153">
        <f t="shared" si="26"/>
        <v>0.42040616823879479</v>
      </c>
      <c r="G35" s="153">
        <f t="shared" si="26"/>
        <v>0.18135793031096681</v>
      </c>
      <c r="H35" s="153">
        <f t="shared" si="26"/>
        <v>0.40385435218209847</v>
      </c>
      <c r="I35" s="153">
        <f t="shared" si="26"/>
        <v>0.32958004076731912</v>
      </c>
      <c r="J35" s="153">
        <f t="shared" si="26"/>
        <v>0.10397538586050521</v>
      </c>
      <c r="K35" s="153">
        <f t="shared" si="26"/>
        <v>0.11405295315682282</v>
      </c>
      <c r="L35" s="153">
        <f t="shared" si="26"/>
        <v>0.31944631564171222</v>
      </c>
      <c r="M35" s="153">
        <f t="shared" si="26"/>
        <v>1.8112679725237699E-2</v>
      </c>
      <c r="N35" s="153">
        <f t="shared" si="26"/>
        <v>0.14674277817447817</v>
      </c>
      <c r="O35" s="153">
        <f t="shared" si="26"/>
        <v>0.10630311245503363</v>
      </c>
      <c r="P35" s="153">
        <f t="shared" si="26"/>
        <v>3.7420597560843642E-2</v>
      </c>
      <c r="Q35" s="153">
        <f t="shared" si="26"/>
        <v>0.2630451431308804</v>
      </c>
      <c r="R35" s="153">
        <f t="shared" si="26"/>
        <v>0.20567326979524556</v>
      </c>
      <c r="S35" s="153">
        <f t="shared" si="26"/>
        <v>8.7697171419692313E-2</v>
      </c>
      <c r="T35" s="153">
        <f t="shared" si="26"/>
        <v>0.26053268883137182</v>
      </c>
      <c r="U35" s="153">
        <f t="shared" si="26"/>
        <v>0.13975000872007609</v>
      </c>
      <c r="V35" s="153">
        <f t="shared" si="26"/>
        <v>4.3828146516111263E-2</v>
      </c>
      <c r="W35" s="153">
        <f t="shared" si="26"/>
        <v>0.46272648281332751</v>
      </c>
    </row>
    <row r="36" spans="1:23" s="111" customFormat="1" ht="15" thickBot="1" x14ac:dyDescent="0.35">
      <c r="A36" s="149" t="s">
        <v>86</v>
      </c>
      <c r="B36" s="154">
        <f>+B17/B$17</f>
        <v>1</v>
      </c>
      <c r="C36" s="154">
        <f t="shared" ref="C36:W36" si="27">+C17/C$17</f>
        <v>1</v>
      </c>
      <c r="D36" s="154">
        <f t="shared" si="27"/>
        <v>1</v>
      </c>
      <c r="E36" s="154">
        <f t="shared" si="27"/>
        <v>1</v>
      </c>
      <c r="F36" s="154">
        <f t="shared" si="27"/>
        <v>1</v>
      </c>
      <c r="G36" s="154">
        <f t="shared" si="27"/>
        <v>1</v>
      </c>
      <c r="H36" s="154">
        <f t="shared" si="27"/>
        <v>1</v>
      </c>
      <c r="I36" s="154">
        <f t="shared" si="27"/>
        <v>1</v>
      </c>
      <c r="J36" s="154">
        <f t="shared" si="27"/>
        <v>1</v>
      </c>
      <c r="K36" s="154">
        <f t="shared" si="27"/>
        <v>1</v>
      </c>
      <c r="L36" s="154">
        <f t="shared" si="27"/>
        <v>1</v>
      </c>
      <c r="M36" s="154">
        <f t="shared" si="27"/>
        <v>1</v>
      </c>
      <c r="N36" s="154">
        <f t="shared" si="27"/>
        <v>1</v>
      </c>
      <c r="O36" s="154">
        <f t="shared" si="27"/>
        <v>1</v>
      </c>
      <c r="P36" s="154">
        <f t="shared" si="27"/>
        <v>1</v>
      </c>
      <c r="Q36" s="154">
        <f t="shared" si="27"/>
        <v>1</v>
      </c>
      <c r="R36" s="154">
        <f t="shared" si="27"/>
        <v>1</v>
      </c>
      <c r="S36" s="154">
        <f t="shared" si="27"/>
        <v>1</v>
      </c>
      <c r="T36" s="154">
        <f t="shared" si="27"/>
        <v>1</v>
      </c>
      <c r="U36" s="154">
        <f>+U17/U$17</f>
        <v>1</v>
      </c>
      <c r="V36" s="154">
        <f t="shared" si="27"/>
        <v>1</v>
      </c>
      <c r="W36" s="154">
        <f t="shared" si="27"/>
        <v>1</v>
      </c>
    </row>
    <row r="37" spans="1:23" x14ac:dyDescent="0.3">
      <c r="A37" s="28" t="s">
        <v>121</v>
      </c>
      <c r="B37" s="28"/>
      <c r="C37" s="28"/>
      <c r="D37" s="28"/>
      <c r="E37" s="28"/>
      <c r="F37" s="28"/>
      <c r="G37" s="28"/>
      <c r="H37" s="28"/>
      <c r="I37" s="28"/>
      <c r="J37" s="28"/>
      <c r="O37" s="97"/>
    </row>
    <row r="38" spans="1:23" x14ac:dyDescent="0.3">
      <c r="A38" s="28" t="s">
        <v>122</v>
      </c>
      <c r="B38" s="28"/>
      <c r="C38" s="28"/>
      <c r="D38" s="28"/>
      <c r="E38" s="28"/>
      <c r="F38" s="28"/>
      <c r="G38" s="28"/>
      <c r="H38" s="28"/>
      <c r="I38" s="28"/>
      <c r="J38" s="28"/>
      <c r="O38" s="97"/>
    </row>
    <row r="39" spans="1:23" x14ac:dyDescent="0.3">
      <c r="A39" s="28" t="s">
        <v>123</v>
      </c>
      <c r="B39" s="28"/>
      <c r="C39" s="28"/>
      <c r="D39" s="28"/>
      <c r="E39" s="28"/>
      <c r="F39" s="28"/>
      <c r="G39" s="28"/>
      <c r="H39" s="28"/>
      <c r="I39" s="28"/>
      <c r="J39" s="28"/>
      <c r="O39" s="97"/>
    </row>
    <row r="40" spans="1:23" x14ac:dyDescent="0.3">
      <c r="A40" s="95">
        <v>41008</v>
      </c>
      <c r="B40" s="28"/>
      <c r="C40" s="28"/>
      <c r="D40" s="28"/>
      <c r="E40" s="28"/>
      <c r="F40" s="28"/>
      <c r="G40" s="28"/>
      <c r="H40" s="28"/>
      <c r="I40" s="28"/>
      <c r="J40" s="28"/>
      <c r="O40" s="97"/>
    </row>
  </sheetData>
  <mergeCells count="2">
    <mergeCell ref="A1:W1"/>
    <mergeCell ref="A22:W22"/>
  </mergeCells>
  <hyperlinks>
    <hyperlink ref="A1:W1" location="CONTENIDO!A1" display="TRANSPORTE AÉREO - AEROTAXIS  - COSTOS DE OPERACIÓN   -  II SEMESTRE DE 2011  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8" workbookViewId="0">
      <selection activeCell="B44" sqref="B44"/>
    </sheetView>
  </sheetViews>
  <sheetFormatPr baseColWidth="10" defaultRowHeight="14.4" x14ac:dyDescent="0.3"/>
  <cols>
    <col min="1" max="1" width="32.453125" style="96" customWidth="1"/>
    <col min="2" max="2" width="9" style="96" customWidth="1"/>
    <col min="3" max="3" width="7.453125" style="96" customWidth="1"/>
    <col min="4" max="4" width="9" style="96" customWidth="1"/>
    <col min="5" max="5" width="9.1796875" style="96" customWidth="1"/>
    <col min="6" max="16384" width="10.90625" style="28"/>
  </cols>
  <sheetData>
    <row r="1" spans="1:5" ht="25.8" customHeight="1" thickBot="1" x14ac:dyDescent="0.35">
      <c r="A1" s="216" t="s">
        <v>131</v>
      </c>
      <c r="B1" s="217"/>
      <c r="C1" s="217"/>
      <c r="D1" s="217"/>
      <c r="E1" s="217"/>
    </row>
    <row r="2" spans="1:5" ht="15" thickBot="1" x14ac:dyDescent="0.35"/>
    <row r="3" spans="1:5" ht="15" thickBot="1" x14ac:dyDescent="0.35">
      <c r="A3" s="155" t="s">
        <v>0</v>
      </c>
      <c r="B3" s="155" t="s">
        <v>29</v>
      </c>
      <c r="C3" s="155" t="s">
        <v>39</v>
      </c>
      <c r="D3" s="155" t="s">
        <v>79</v>
      </c>
      <c r="E3" s="155" t="s">
        <v>43</v>
      </c>
    </row>
    <row r="4" spans="1:5" x14ac:dyDescent="0.3">
      <c r="A4" s="48" t="s">
        <v>130</v>
      </c>
      <c r="B4" s="158">
        <v>527518</v>
      </c>
      <c r="C4" s="158">
        <v>236197</v>
      </c>
      <c r="D4" s="158">
        <v>355737</v>
      </c>
      <c r="E4" s="159">
        <v>591934</v>
      </c>
    </row>
    <row r="5" spans="1:5" x14ac:dyDescent="0.3">
      <c r="A5" s="87" t="s">
        <v>89</v>
      </c>
      <c r="B5" s="160">
        <v>0</v>
      </c>
      <c r="C5" s="160">
        <v>63207</v>
      </c>
      <c r="D5" s="160">
        <v>218633</v>
      </c>
      <c r="E5" s="161">
        <v>281840</v>
      </c>
    </row>
    <row r="6" spans="1:5" x14ac:dyDescent="0.3">
      <c r="A6" s="87" t="s">
        <v>90</v>
      </c>
      <c r="B6" s="160">
        <v>3694</v>
      </c>
      <c r="C6" s="160">
        <v>1715</v>
      </c>
      <c r="D6" s="160">
        <v>32141</v>
      </c>
      <c r="E6" s="161">
        <v>33856</v>
      </c>
    </row>
    <row r="7" spans="1:5" x14ac:dyDescent="0.3">
      <c r="A7" s="87" t="s">
        <v>91</v>
      </c>
      <c r="B7" s="160">
        <v>73095</v>
      </c>
      <c r="C7" s="160">
        <v>170528</v>
      </c>
      <c r="D7" s="160">
        <v>33103</v>
      </c>
      <c r="E7" s="161">
        <v>203631</v>
      </c>
    </row>
    <row r="8" spans="1:5" x14ac:dyDescent="0.3">
      <c r="A8" s="87" t="s">
        <v>92</v>
      </c>
      <c r="B8" s="160">
        <v>0</v>
      </c>
      <c r="C8" s="160">
        <v>0</v>
      </c>
      <c r="D8" s="160">
        <v>0</v>
      </c>
      <c r="E8" s="161">
        <v>0</v>
      </c>
    </row>
    <row r="9" spans="1:5" x14ac:dyDescent="0.3">
      <c r="A9" s="87" t="s">
        <v>93</v>
      </c>
      <c r="B9" s="160">
        <v>345800</v>
      </c>
      <c r="C9" s="160">
        <v>99512</v>
      </c>
      <c r="D9" s="160">
        <v>230680</v>
      </c>
      <c r="E9" s="161">
        <v>330192</v>
      </c>
    </row>
    <row r="10" spans="1:5" x14ac:dyDescent="0.3">
      <c r="A10" s="87" t="s">
        <v>94</v>
      </c>
      <c r="B10" s="160">
        <v>0</v>
      </c>
      <c r="C10" s="160">
        <v>4476</v>
      </c>
      <c r="D10" s="160">
        <v>0</v>
      </c>
      <c r="E10" s="161">
        <v>4476</v>
      </c>
    </row>
    <row r="11" spans="1:5" ht="15" thickBot="1" x14ac:dyDescent="0.35">
      <c r="A11" s="87" t="s">
        <v>95</v>
      </c>
      <c r="B11" s="160">
        <v>0</v>
      </c>
      <c r="C11" s="160">
        <v>12500</v>
      </c>
      <c r="D11" s="160">
        <v>197298</v>
      </c>
      <c r="E11" s="161">
        <v>209798</v>
      </c>
    </row>
    <row r="12" spans="1:5" ht="15" thickBot="1" x14ac:dyDescent="0.35">
      <c r="A12" s="145" t="s">
        <v>107</v>
      </c>
      <c r="B12" s="151">
        <f>SUM(B4:B11)</f>
        <v>950107</v>
      </c>
      <c r="C12" s="151">
        <f t="shared" ref="C12:E12" si="0">SUM(C4:C11)</f>
        <v>588135</v>
      </c>
      <c r="D12" s="151">
        <f t="shared" si="0"/>
        <v>1067592</v>
      </c>
      <c r="E12" s="151">
        <f t="shared" si="0"/>
        <v>1655727</v>
      </c>
    </row>
    <row r="13" spans="1:5" x14ac:dyDescent="0.3">
      <c r="A13" s="87" t="s">
        <v>96</v>
      </c>
      <c r="B13" s="160">
        <v>484323</v>
      </c>
      <c r="C13" s="160">
        <v>62309</v>
      </c>
      <c r="D13" s="160">
        <v>2259771</v>
      </c>
      <c r="E13" s="161">
        <v>2322080</v>
      </c>
    </row>
    <row r="14" spans="1:5" x14ac:dyDescent="0.3">
      <c r="A14" s="87" t="s">
        <v>97</v>
      </c>
      <c r="B14" s="160">
        <v>0</v>
      </c>
      <c r="C14" s="160">
        <v>0</v>
      </c>
      <c r="D14" s="160">
        <v>0</v>
      </c>
      <c r="E14" s="161">
        <v>0</v>
      </c>
    </row>
    <row r="15" spans="1:5" ht="15" thickBot="1" x14ac:dyDescent="0.35">
      <c r="A15" s="87" t="s">
        <v>98</v>
      </c>
      <c r="B15" s="160">
        <v>4281</v>
      </c>
      <c r="C15" s="160">
        <v>2685</v>
      </c>
      <c r="D15" s="160">
        <v>42180</v>
      </c>
      <c r="E15" s="161">
        <v>44865</v>
      </c>
    </row>
    <row r="16" spans="1:5" ht="15" thickBot="1" x14ac:dyDescent="0.35">
      <c r="A16" s="147" t="s">
        <v>111</v>
      </c>
      <c r="B16" s="156">
        <f t="shared" ref="B16:E16" si="1">SUM(B13:B15)</f>
        <v>488604</v>
      </c>
      <c r="C16" s="156">
        <f t="shared" si="1"/>
        <v>64994</v>
      </c>
      <c r="D16" s="156">
        <f t="shared" si="1"/>
        <v>2301951</v>
      </c>
      <c r="E16" s="156">
        <f t="shared" si="1"/>
        <v>2366945</v>
      </c>
    </row>
    <row r="17" spans="1:5" ht="15" thickBot="1" x14ac:dyDescent="0.35">
      <c r="A17" s="149" t="s">
        <v>86</v>
      </c>
      <c r="B17" s="157">
        <f t="shared" ref="B17:E17" si="2">+B12+B16</f>
        <v>1438711</v>
      </c>
      <c r="C17" s="157">
        <f t="shared" si="2"/>
        <v>653129</v>
      </c>
      <c r="D17" s="157">
        <f t="shared" si="2"/>
        <v>3369543</v>
      </c>
      <c r="E17" s="157">
        <f t="shared" si="2"/>
        <v>4022672</v>
      </c>
    </row>
    <row r="18" spans="1:5" x14ac:dyDescent="0.3">
      <c r="A18" s="87" t="s">
        <v>1</v>
      </c>
      <c r="B18" s="160">
        <v>31</v>
      </c>
      <c r="C18" s="160">
        <v>130</v>
      </c>
      <c r="D18" s="160">
        <v>64</v>
      </c>
      <c r="E18" s="161">
        <v>194</v>
      </c>
    </row>
    <row r="19" spans="1:5" x14ac:dyDescent="0.3">
      <c r="A19" s="87" t="s">
        <v>2</v>
      </c>
      <c r="B19" s="160">
        <v>6</v>
      </c>
      <c r="C19" s="160">
        <v>56</v>
      </c>
      <c r="D19" s="160">
        <v>44</v>
      </c>
      <c r="E19" s="161">
        <v>100</v>
      </c>
    </row>
    <row r="20" spans="1:5" ht="15" thickBot="1" x14ac:dyDescent="0.35">
      <c r="A20" s="101" t="s">
        <v>85</v>
      </c>
      <c r="B20" s="162">
        <v>1</v>
      </c>
      <c r="C20" s="162">
        <v>1</v>
      </c>
      <c r="D20" s="162">
        <v>1</v>
      </c>
      <c r="E20" s="163">
        <v>2</v>
      </c>
    </row>
    <row r="21" spans="1:5" ht="15" thickBot="1" x14ac:dyDescent="0.35"/>
    <row r="22" spans="1:5" ht="15" thickBot="1" x14ac:dyDescent="0.35">
      <c r="A22" s="186" t="s">
        <v>118</v>
      </c>
      <c r="B22" s="209"/>
      <c r="C22" s="209"/>
      <c r="D22" s="209"/>
      <c r="E22" s="210"/>
    </row>
    <row r="23" spans="1:5" ht="15" thickBot="1" x14ac:dyDescent="0.35">
      <c r="A23" s="28"/>
      <c r="B23" s="28"/>
      <c r="C23" s="28"/>
      <c r="D23" s="28"/>
      <c r="E23" s="28"/>
    </row>
    <row r="24" spans="1:5" x14ac:dyDescent="0.3">
      <c r="A24" s="48" t="s">
        <v>87</v>
      </c>
      <c r="B24" s="164">
        <f>+B4/B$17</f>
        <v>0.36666015620927345</v>
      </c>
      <c r="C24" s="164">
        <f t="shared" ref="C24:E24" si="3">+C4/C$17</f>
        <v>0.36163912488957006</v>
      </c>
      <c r="D24" s="164">
        <f t="shared" si="3"/>
        <v>0.10557425739929717</v>
      </c>
      <c r="E24" s="165">
        <f t="shared" si="3"/>
        <v>0.14714945687841316</v>
      </c>
    </row>
    <row r="25" spans="1:5" x14ac:dyDescent="0.3">
      <c r="A25" s="87" t="s">
        <v>89</v>
      </c>
      <c r="B25" s="85">
        <f t="shared" ref="B25:E25" si="4">+B6/B$17</f>
        <v>2.5675761150085043E-3</v>
      </c>
      <c r="C25" s="85">
        <f t="shared" si="4"/>
        <v>2.6258212389895412E-3</v>
      </c>
      <c r="D25" s="85">
        <f t="shared" si="4"/>
        <v>9.538682248601665E-3</v>
      </c>
      <c r="E25" s="166">
        <f t="shared" si="4"/>
        <v>8.4162964318244184E-3</v>
      </c>
    </row>
    <row r="26" spans="1:5" x14ac:dyDescent="0.3">
      <c r="A26" s="87" t="s">
        <v>90</v>
      </c>
      <c r="B26" s="85">
        <f t="shared" ref="B26:E26" si="5">+B7/B$17</f>
        <v>5.0805894999065133E-2</v>
      </c>
      <c r="C26" s="85">
        <f t="shared" si="5"/>
        <v>0.26109390334834315</v>
      </c>
      <c r="D26" s="85">
        <f t="shared" si="5"/>
        <v>9.8241809052444212E-3</v>
      </c>
      <c r="E26" s="166">
        <f t="shared" si="5"/>
        <v>5.0620831129159924E-2</v>
      </c>
    </row>
    <row r="27" spans="1:5" x14ac:dyDescent="0.3">
      <c r="A27" s="87" t="s">
        <v>91</v>
      </c>
      <c r="B27" s="85">
        <f t="shared" ref="B27:E27" si="6">+B8/B$17</f>
        <v>0</v>
      </c>
      <c r="C27" s="85">
        <f t="shared" si="6"/>
        <v>0</v>
      </c>
      <c r="D27" s="85">
        <f t="shared" si="6"/>
        <v>0</v>
      </c>
      <c r="E27" s="166">
        <f t="shared" si="6"/>
        <v>0</v>
      </c>
    </row>
    <row r="28" spans="1:5" x14ac:dyDescent="0.3">
      <c r="A28" s="87" t="s">
        <v>92</v>
      </c>
      <c r="B28" s="85">
        <f t="shared" ref="B28:E28" si="7">+B9/B$17</f>
        <v>0.24035403913642142</v>
      </c>
      <c r="C28" s="85">
        <f t="shared" si="7"/>
        <v>0.15236193768765435</v>
      </c>
      <c r="D28" s="85">
        <f t="shared" si="7"/>
        <v>6.8460322364190043E-2</v>
      </c>
      <c r="E28" s="166">
        <f t="shared" si="7"/>
        <v>8.20827549449719E-2</v>
      </c>
    </row>
    <row r="29" spans="1:5" x14ac:dyDescent="0.3">
      <c r="A29" s="87" t="s">
        <v>126</v>
      </c>
      <c r="B29" s="85">
        <f t="shared" ref="B29:E29" si="8">+B10/B$17</f>
        <v>0</v>
      </c>
      <c r="C29" s="85">
        <f t="shared" si="8"/>
        <v>6.8531637700974847E-3</v>
      </c>
      <c r="D29" s="85">
        <f t="shared" si="8"/>
        <v>0</v>
      </c>
      <c r="E29" s="166">
        <f t="shared" si="8"/>
        <v>1.1126932546327416E-3</v>
      </c>
    </row>
    <row r="30" spans="1:5" x14ac:dyDescent="0.3">
      <c r="A30" s="87" t="s">
        <v>94</v>
      </c>
      <c r="B30" s="85">
        <f t="shared" ref="B30:E30" si="9">+B11/B$17</f>
        <v>0</v>
      </c>
      <c r="C30" s="85">
        <f t="shared" si="9"/>
        <v>1.9138638768145342E-2</v>
      </c>
      <c r="D30" s="85">
        <f t="shared" si="9"/>
        <v>5.8553340912996216E-2</v>
      </c>
      <c r="E30" s="166">
        <f t="shared" si="9"/>
        <v>5.215389174160856E-2</v>
      </c>
    </row>
    <row r="31" spans="1:5" ht="15" thickBot="1" x14ac:dyDescent="0.35">
      <c r="A31" s="87" t="s">
        <v>95</v>
      </c>
      <c r="B31" s="85">
        <f t="shared" ref="B31:E31" si="10">+B12/B$17</f>
        <v>0.66038766645976854</v>
      </c>
      <c r="C31" s="85">
        <f t="shared" si="10"/>
        <v>0.90048826495225287</v>
      </c>
      <c r="D31" s="85">
        <f t="shared" si="10"/>
        <v>0.31683584391117725</v>
      </c>
      <c r="E31" s="166">
        <f t="shared" si="10"/>
        <v>0.41159880795650255</v>
      </c>
    </row>
    <row r="32" spans="1:5" ht="15" thickBot="1" x14ac:dyDescent="0.35">
      <c r="A32" s="145" t="s">
        <v>107</v>
      </c>
      <c r="B32" s="146">
        <f>+B12/B$17</f>
        <v>0.66038766645976854</v>
      </c>
      <c r="C32" s="146">
        <f t="shared" ref="C32:E32" si="11">+C12/C$17</f>
        <v>0.90048826495225287</v>
      </c>
      <c r="D32" s="146">
        <f t="shared" si="11"/>
        <v>0.31683584391117725</v>
      </c>
      <c r="E32" s="148">
        <f t="shared" si="11"/>
        <v>0.41159880795650255</v>
      </c>
    </row>
    <row r="33" spans="1:5" x14ac:dyDescent="0.3">
      <c r="A33" s="87" t="s">
        <v>96</v>
      </c>
      <c r="B33" s="85">
        <f>+B13/B$17</f>
        <v>0.33663675331598908</v>
      </c>
      <c r="C33" s="85">
        <f t="shared" ref="C33:E33" si="12">+C13/C$17</f>
        <v>9.5400755440349455E-2</v>
      </c>
      <c r="D33" s="85">
        <f t="shared" si="12"/>
        <v>0.67064613806679418</v>
      </c>
      <c r="E33" s="166">
        <f t="shared" si="12"/>
        <v>0.57724815744360958</v>
      </c>
    </row>
    <row r="34" spans="1:5" x14ac:dyDescent="0.3">
      <c r="A34" s="87" t="s">
        <v>97</v>
      </c>
      <c r="B34" s="85">
        <f t="shared" ref="B34:E34" si="13">+B14/B$17</f>
        <v>0</v>
      </c>
      <c r="C34" s="85">
        <f t="shared" si="13"/>
        <v>0</v>
      </c>
      <c r="D34" s="85">
        <f t="shared" si="13"/>
        <v>0</v>
      </c>
      <c r="E34" s="166">
        <f t="shared" si="13"/>
        <v>0</v>
      </c>
    </row>
    <row r="35" spans="1:5" ht="15" thickBot="1" x14ac:dyDescent="0.35">
      <c r="A35" s="87" t="s">
        <v>98</v>
      </c>
      <c r="B35" s="85">
        <f t="shared" ref="B35:E35" si="14">+B15/B$17</f>
        <v>2.9755802242423949E-3</v>
      </c>
      <c r="C35" s="85">
        <f t="shared" si="14"/>
        <v>4.1109796073976199E-3</v>
      </c>
      <c r="D35" s="85">
        <f t="shared" si="14"/>
        <v>1.2518018022028506E-2</v>
      </c>
      <c r="E35" s="166">
        <f t="shared" si="14"/>
        <v>1.1153034599887836E-2</v>
      </c>
    </row>
    <row r="36" spans="1:5" ht="15" thickBot="1" x14ac:dyDescent="0.35">
      <c r="A36" s="147" t="s">
        <v>111</v>
      </c>
      <c r="B36" s="148">
        <f>+B16/B$17</f>
        <v>0.33961233354023151</v>
      </c>
      <c r="C36" s="148">
        <f t="shared" ref="C36:E36" si="15">+C16/C$17</f>
        <v>9.9511735047747074E-2</v>
      </c>
      <c r="D36" s="148">
        <f t="shared" si="15"/>
        <v>0.68316415608882275</v>
      </c>
      <c r="E36" s="148">
        <f t="shared" si="15"/>
        <v>0.5884011920434975</v>
      </c>
    </row>
    <row r="37" spans="1:5" ht="15" thickBot="1" x14ac:dyDescent="0.35">
      <c r="A37" s="149" t="s">
        <v>86</v>
      </c>
      <c r="B37" s="150">
        <f>+B17/B$17</f>
        <v>1</v>
      </c>
      <c r="C37" s="150">
        <f t="shared" ref="C37:E37" si="16">+C17/C$17</f>
        <v>1</v>
      </c>
      <c r="D37" s="150">
        <f t="shared" si="16"/>
        <v>1</v>
      </c>
      <c r="E37" s="150">
        <f t="shared" si="16"/>
        <v>1</v>
      </c>
    </row>
    <row r="38" spans="1:5" x14ac:dyDescent="0.3">
      <c r="A38" s="28" t="s">
        <v>500</v>
      </c>
      <c r="B38" s="28"/>
      <c r="C38" s="28"/>
      <c r="D38" s="28"/>
      <c r="E38" s="28"/>
    </row>
    <row r="39" spans="1:5" x14ac:dyDescent="0.3">
      <c r="A39" s="28" t="s">
        <v>122</v>
      </c>
      <c r="B39" s="28"/>
      <c r="C39" s="28"/>
      <c r="D39" s="28"/>
      <c r="E39" s="28"/>
    </row>
    <row r="40" spans="1:5" x14ac:dyDescent="0.3">
      <c r="A40" s="28" t="s">
        <v>123</v>
      </c>
      <c r="B40" s="28"/>
      <c r="C40" s="28"/>
      <c r="D40" s="28"/>
      <c r="E40" s="28"/>
    </row>
    <row r="41" spans="1:5" x14ac:dyDescent="0.3">
      <c r="A41" s="95">
        <v>41008</v>
      </c>
    </row>
  </sheetData>
  <mergeCells count="2">
    <mergeCell ref="A1:E1"/>
    <mergeCell ref="A22:E22"/>
  </mergeCells>
  <hyperlinks>
    <hyperlink ref="A1:E1" location="CONTENIDO!A1" display="CONTENIDO!A1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G40" sqref="G40"/>
    </sheetView>
  </sheetViews>
  <sheetFormatPr baseColWidth="10" defaultRowHeight="14.4" x14ac:dyDescent="0.3"/>
  <cols>
    <col min="1" max="1" width="32.453125" style="28" customWidth="1"/>
    <col min="2" max="4" width="9" style="28" customWidth="1"/>
    <col min="5" max="5" width="9.1796875" style="28" customWidth="1"/>
    <col min="6" max="6" width="9" style="28" customWidth="1"/>
    <col min="7" max="16384" width="10.90625" style="28"/>
  </cols>
  <sheetData>
    <row r="1" spans="1:6" ht="27.6" customHeight="1" thickBot="1" x14ac:dyDescent="0.35">
      <c r="A1" s="216" t="s">
        <v>132</v>
      </c>
      <c r="B1" s="218"/>
      <c r="C1" s="218"/>
      <c r="D1" s="218"/>
      <c r="E1" s="218"/>
      <c r="F1" s="219"/>
    </row>
    <row r="2" spans="1:6" ht="16.2" customHeight="1" thickBot="1" x14ac:dyDescent="0.35"/>
    <row r="3" spans="1:6" ht="15" thickBot="1" x14ac:dyDescent="0.35">
      <c r="A3" s="155" t="s">
        <v>0</v>
      </c>
      <c r="B3" s="155" t="s">
        <v>34</v>
      </c>
      <c r="C3" s="155" t="s">
        <v>42</v>
      </c>
      <c r="D3" s="155" t="s">
        <v>61</v>
      </c>
      <c r="E3" s="155" t="s">
        <v>43</v>
      </c>
      <c r="F3" s="155" t="s">
        <v>76</v>
      </c>
    </row>
    <row r="4" spans="1:6" x14ac:dyDescent="0.3">
      <c r="A4" s="48" t="s">
        <v>87</v>
      </c>
      <c r="B4" s="49">
        <v>517065</v>
      </c>
      <c r="C4" s="49">
        <v>522487</v>
      </c>
      <c r="D4" s="49">
        <v>256917</v>
      </c>
      <c r="E4" s="49">
        <f>757307/2</f>
        <v>378653.5</v>
      </c>
      <c r="F4" s="50">
        <v>451232</v>
      </c>
    </row>
    <row r="5" spans="1:6" x14ac:dyDescent="0.3">
      <c r="A5" s="87" t="s">
        <v>133</v>
      </c>
      <c r="B5" s="54">
        <v>0</v>
      </c>
      <c r="C5" s="54">
        <v>42787</v>
      </c>
      <c r="D5" s="54">
        <v>44747</v>
      </c>
      <c r="E5" s="54">
        <f>256618/2</f>
        <v>128309</v>
      </c>
      <c r="F5" s="57">
        <v>294379</v>
      </c>
    </row>
    <row r="6" spans="1:6" x14ac:dyDescent="0.3">
      <c r="A6" s="87" t="s">
        <v>90</v>
      </c>
      <c r="B6" s="54">
        <v>15020</v>
      </c>
      <c r="C6" s="54">
        <v>9932</v>
      </c>
      <c r="D6" s="54">
        <v>9557</v>
      </c>
      <c r="E6" s="54">
        <f>129469/2</f>
        <v>64734.5</v>
      </c>
      <c r="F6" s="57">
        <v>75335</v>
      </c>
    </row>
    <row r="7" spans="1:6" x14ac:dyDescent="0.3">
      <c r="A7" s="87" t="s">
        <v>91</v>
      </c>
      <c r="B7" s="54">
        <v>681036</v>
      </c>
      <c r="C7" s="54">
        <v>153402</v>
      </c>
      <c r="D7" s="54">
        <v>261957</v>
      </c>
      <c r="E7" s="54">
        <f>235893/2</f>
        <v>117946.5</v>
      </c>
      <c r="F7" s="57">
        <v>545860</v>
      </c>
    </row>
    <row r="8" spans="1:6" x14ac:dyDescent="0.3">
      <c r="A8" s="87" t="s">
        <v>92</v>
      </c>
      <c r="B8" s="54">
        <v>0</v>
      </c>
      <c r="C8" s="54">
        <v>0</v>
      </c>
      <c r="D8" s="54">
        <v>0</v>
      </c>
      <c r="E8" s="54">
        <v>0</v>
      </c>
      <c r="F8" s="57">
        <v>7583</v>
      </c>
    </row>
    <row r="9" spans="1:6" x14ac:dyDescent="0.3">
      <c r="A9" s="87" t="s">
        <v>126</v>
      </c>
      <c r="B9" s="54">
        <v>1585756</v>
      </c>
      <c r="C9" s="54">
        <v>439496</v>
      </c>
      <c r="D9" s="54">
        <v>474352</v>
      </c>
      <c r="E9" s="54">
        <f>656654/2</f>
        <v>328327</v>
      </c>
      <c r="F9" s="57">
        <v>933328</v>
      </c>
    </row>
    <row r="10" spans="1:6" x14ac:dyDescent="0.3">
      <c r="A10" s="87" t="s">
        <v>94</v>
      </c>
      <c r="B10" s="54">
        <v>0</v>
      </c>
      <c r="C10" s="54">
        <v>8953</v>
      </c>
      <c r="D10" s="54">
        <v>110631</v>
      </c>
      <c r="E10" s="54">
        <v>0</v>
      </c>
      <c r="F10" s="57">
        <v>0</v>
      </c>
    </row>
    <row r="11" spans="1:6" ht="15" thickBot="1" x14ac:dyDescent="0.35">
      <c r="A11" s="87" t="s">
        <v>95</v>
      </c>
      <c r="B11" s="54">
        <v>0</v>
      </c>
      <c r="C11" s="54">
        <v>0</v>
      </c>
      <c r="D11" s="54">
        <v>0</v>
      </c>
      <c r="E11" s="54">
        <f>691559/2</f>
        <v>345779.5</v>
      </c>
      <c r="F11" s="57">
        <v>228017</v>
      </c>
    </row>
    <row r="12" spans="1:6" ht="15" thickBot="1" x14ac:dyDescent="0.35">
      <c r="A12" s="145" t="s">
        <v>107</v>
      </c>
      <c r="B12" s="167">
        <f>SUM(B4:B11)</f>
        <v>2798877</v>
      </c>
      <c r="C12" s="167">
        <f t="shared" ref="C12:F12" si="0">SUM(C4:C11)</f>
        <v>1177057</v>
      </c>
      <c r="D12" s="167">
        <f t="shared" si="0"/>
        <v>1158161</v>
      </c>
      <c r="E12" s="167">
        <f t="shared" si="0"/>
        <v>1363750</v>
      </c>
      <c r="F12" s="167">
        <f t="shared" si="0"/>
        <v>2535734</v>
      </c>
    </row>
    <row r="13" spans="1:6" x14ac:dyDescent="0.3">
      <c r="A13" s="87" t="s">
        <v>96</v>
      </c>
      <c r="B13" s="54">
        <v>3637774</v>
      </c>
      <c r="C13" s="54">
        <v>103635</v>
      </c>
      <c r="D13" s="54">
        <v>723266</v>
      </c>
      <c r="E13" s="54">
        <f>1610347/2</f>
        <v>805173.5</v>
      </c>
      <c r="F13" s="57">
        <v>484314</v>
      </c>
    </row>
    <row r="14" spans="1:6" x14ac:dyDescent="0.3">
      <c r="A14" s="87" t="s">
        <v>97</v>
      </c>
      <c r="B14" s="54">
        <v>0</v>
      </c>
      <c r="C14" s="54">
        <v>0</v>
      </c>
      <c r="D14" s="54">
        <v>0</v>
      </c>
      <c r="E14" s="54">
        <v>0</v>
      </c>
      <c r="F14" s="57">
        <v>314259</v>
      </c>
    </row>
    <row r="15" spans="1:6" ht="15" thickBot="1" x14ac:dyDescent="0.35">
      <c r="A15" s="87" t="s">
        <v>98</v>
      </c>
      <c r="B15" s="54">
        <v>28058</v>
      </c>
      <c r="C15" s="54">
        <v>0</v>
      </c>
      <c r="D15" s="54">
        <v>151671</v>
      </c>
      <c r="E15" s="54">
        <f>16604/2</f>
        <v>8302</v>
      </c>
      <c r="F15" s="57">
        <v>59806</v>
      </c>
    </row>
    <row r="16" spans="1:6" ht="15" thickBot="1" x14ac:dyDescent="0.35">
      <c r="A16" s="145" t="s">
        <v>111</v>
      </c>
      <c r="B16" s="167">
        <f>SUM(B13:B15)</f>
        <v>3665832</v>
      </c>
      <c r="C16" s="167">
        <f t="shared" ref="C16:F16" si="1">SUM(C13:C15)</f>
        <v>103635</v>
      </c>
      <c r="D16" s="167">
        <f t="shared" si="1"/>
        <v>874937</v>
      </c>
      <c r="E16" s="167">
        <f t="shared" si="1"/>
        <v>813475.5</v>
      </c>
      <c r="F16" s="167">
        <f t="shared" si="1"/>
        <v>858379</v>
      </c>
    </row>
    <row r="17" spans="1:6" ht="15" thickBot="1" x14ac:dyDescent="0.35">
      <c r="A17" s="149" t="s">
        <v>86</v>
      </c>
      <c r="B17" s="157">
        <f>+B12+B16</f>
        <v>6464709</v>
      </c>
      <c r="C17" s="157">
        <f t="shared" ref="C17:F17" si="2">+C12+C16</f>
        <v>1280692</v>
      </c>
      <c r="D17" s="157">
        <f t="shared" si="2"/>
        <v>2033098</v>
      </c>
      <c r="E17" s="157">
        <f t="shared" si="2"/>
        <v>2177225.5</v>
      </c>
      <c r="F17" s="157">
        <f t="shared" si="2"/>
        <v>3394113</v>
      </c>
    </row>
    <row r="18" spans="1:6" x14ac:dyDescent="0.3">
      <c r="A18" s="87" t="s">
        <v>1</v>
      </c>
      <c r="B18" s="54">
        <v>51</v>
      </c>
      <c r="C18" s="54">
        <v>104</v>
      </c>
      <c r="D18" s="54">
        <v>449</v>
      </c>
      <c r="E18" s="54">
        <f>106+144+250</f>
        <v>500</v>
      </c>
      <c r="F18" s="57">
        <v>167</v>
      </c>
    </row>
    <row r="19" spans="1:6" x14ac:dyDescent="0.3">
      <c r="A19" s="87" t="s">
        <v>2</v>
      </c>
      <c r="B19" s="54">
        <v>29</v>
      </c>
      <c r="C19" s="54">
        <v>55</v>
      </c>
      <c r="D19" s="54">
        <v>138</v>
      </c>
      <c r="E19" s="54">
        <f>54+77+131</f>
        <v>262</v>
      </c>
      <c r="F19" s="57">
        <v>93</v>
      </c>
    </row>
    <row r="20" spans="1:6" ht="15" thickBot="1" x14ac:dyDescent="0.35">
      <c r="A20" s="101" t="s">
        <v>85</v>
      </c>
      <c r="B20" s="102">
        <v>1</v>
      </c>
      <c r="C20" s="102">
        <v>1</v>
      </c>
      <c r="D20" s="102">
        <v>1</v>
      </c>
      <c r="E20" s="102">
        <f>1+1+2</f>
        <v>4</v>
      </c>
      <c r="F20" s="104">
        <v>1</v>
      </c>
    </row>
    <row r="21" spans="1:6" ht="15" thickBot="1" x14ac:dyDescent="0.35">
      <c r="A21" s="96"/>
      <c r="B21" s="96"/>
      <c r="C21" s="96"/>
      <c r="D21" s="96"/>
      <c r="E21" s="96"/>
      <c r="F21" s="96"/>
    </row>
    <row r="22" spans="1:6" ht="15" thickBot="1" x14ac:dyDescent="0.35">
      <c r="A22" s="186" t="s">
        <v>118</v>
      </c>
      <c r="B22" s="209"/>
      <c r="C22" s="209"/>
      <c r="D22" s="209"/>
      <c r="E22" s="209"/>
      <c r="F22" s="210"/>
    </row>
    <row r="23" spans="1:6" ht="15" thickBot="1" x14ac:dyDescent="0.35"/>
    <row r="24" spans="1:6" x14ac:dyDescent="0.3">
      <c r="A24" s="48" t="s">
        <v>87</v>
      </c>
      <c r="B24" s="164">
        <f>+B4/B$17</f>
        <v>7.9982718479671713E-2</v>
      </c>
      <c r="C24" s="164">
        <f t="shared" ref="C24:F24" si="3">+C4/C$17</f>
        <v>0.40797240866656465</v>
      </c>
      <c r="D24" s="164">
        <f t="shared" si="3"/>
        <v>0.12636724840612701</v>
      </c>
      <c r="E24" s="164">
        <f t="shared" si="3"/>
        <v>0.1739156095682326</v>
      </c>
      <c r="F24" s="165">
        <f t="shared" si="3"/>
        <v>0.1329454853153092</v>
      </c>
    </row>
    <row r="25" spans="1:6" x14ac:dyDescent="0.3">
      <c r="A25" s="87" t="s">
        <v>89</v>
      </c>
      <c r="B25" s="85">
        <f t="shared" ref="B25:D31" si="4">+B6/B$17</f>
        <v>2.323383774892265E-3</v>
      </c>
      <c r="C25" s="85">
        <f t="shared" si="4"/>
        <v>7.7551823545395767E-3</v>
      </c>
      <c r="D25" s="85">
        <f t="shared" si="4"/>
        <v>4.7007079835797386E-3</v>
      </c>
      <c r="E25" s="85">
        <f t="shared" ref="E25:F25" si="5">+E5/E$17</f>
        <v>5.8932343020968662E-2</v>
      </c>
      <c r="F25" s="166">
        <f t="shared" si="5"/>
        <v>8.6732233134253336E-2</v>
      </c>
    </row>
    <row r="26" spans="1:6" x14ac:dyDescent="0.3">
      <c r="A26" s="87" t="s">
        <v>90</v>
      </c>
      <c r="B26" s="85">
        <f t="shared" si="4"/>
        <v>0.10534673718492202</v>
      </c>
      <c r="C26" s="85">
        <f t="shared" si="4"/>
        <v>0.11978055613683852</v>
      </c>
      <c r="D26" s="85">
        <f t="shared" si="4"/>
        <v>0.12884622384164462</v>
      </c>
      <c r="E26" s="85">
        <f t="shared" ref="E26:F26" si="6">+E6/E$17</f>
        <v>2.9732565597821631E-2</v>
      </c>
      <c r="F26" s="166">
        <f t="shared" si="6"/>
        <v>2.2195784288855439E-2</v>
      </c>
    </row>
    <row r="27" spans="1:6" x14ac:dyDescent="0.3">
      <c r="A27" s="87" t="s">
        <v>91</v>
      </c>
      <c r="B27" s="85">
        <f t="shared" si="4"/>
        <v>0</v>
      </c>
      <c r="C27" s="85">
        <f t="shared" si="4"/>
        <v>0</v>
      </c>
      <c r="D27" s="85">
        <f t="shared" si="4"/>
        <v>0</v>
      </c>
      <c r="E27" s="85">
        <f t="shared" ref="E27:F27" si="7">+E7/E$17</f>
        <v>5.4172845210567304E-2</v>
      </c>
      <c r="F27" s="166">
        <f t="shared" si="7"/>
        <v>0.16082552348728518</v>
      </c>
    </row>
    <row r="28" spans="1:6" x14ac:dyDescent="0.3">
      <c r="A28" s="87" t="s">
        <v>92</v>
      </c>
      <c r="B28" s="85">
        <f t="shared" si="4"/>
        <v>0.24529425841132216</v>
      </c>
      <c r="C28" s="85">
        <f t="shared" si="4"/>
        <v>0.34317072332770099</v>
      </c>
      <c r="D28" s="85">
        <f t="shared" si="4"/>
        <v>0.2333148721802884</v>
      </c>
      <c r="E28" s="85">
        <f t="shared" ref="E28:F28" si="8">+E8/E$17</f>
        <v>0</v>
      </c>
      <c r="F28" s="166">
        <f t="shared" si="8"/>
        <v>2.2341625043126143E-3</v>
      </c>
    </row>
    <row r="29" spans="1:6" x14ac:dyDescent="0.3">
      <c r="A29" s="87" t="s">
        <v>126</v>
      </c>
      <c r="B29" s="85">
        <f t="shared" si="4"/>
        <v>0</v>
      </c>
      <c r="C29" s="85">
        <f t="shared" si="4"/>
        <v>6.9907518747677035E-3</v>
      </c>
      <c r="D29" s="85">
        <f t="shared" si="4"/>
        <v>5.4414986390228112E-2</v>
      </c>
      <c r="E29" s="85">
        <f t="shared" ref="E29:F29" si="9">+E9/E$17</f>
        <v>0.15080064053999001</v>
      </c>
      <c r="F29" s="166">
        <f t="shared" si="9"/>
        <v>0.27498436263023651</v>
      </c>
    </row>
    <row r="30" spans="1:6" x14ac:dyDescent="0.3">
      <c r="A30" s="87" t="s">
        <v>94</v>
      </c>
      <c r="B30" s="85">
        <f t="shared" si="4"/>
        <v>0</v>
      </c>
      <c r="C30" s="85">
        <f t="shared" si="4"/>
        <v>0</v>
      </c>
      <c r="D30" s="85">
        <f t="shared" si="4"/>
        <v>0</v>
      </c>
      <c r="E30" s="85">
        <f t="shared" ref="E30:F30" si="10">+E10/E$17</f>
        <v>0</v>
      </c>
      <c r="F30" s="166">
        <f t="shared" si="10"/>
        <v>0</v>
      </c>
    </row>
    <row r="31" spans="1:6" ht="15" thickBot="1" x14ac:dyDescent="0.35">
      <c r="A31" s="87" t="s">
        <v>95</v>
      </c>
      <c r="B31" s="85">
        <f t="shared" si="4"/>
        <v>0.43294709785080815</v>
      </c>
      <c r="C31" s="85">
        <f t="shared" si="4"/>
        <v>0.91907890421740746</v>
      </c>
      <c r="D31" s="85">
        <f t="shared" si="4"/>
        <v>0.56965330741557962</v>
      </c>
      <c r="E31" s="85">
        <f t="shared" ref="E31:F31" si="11">+E11/E$17</f>
        <v>0.15881657641801458</v>
      </c>
      <c r="F31" s="166">
        <f t="shared" si="11"/>
        <v>6.7180143972814105E-2</v>
      </c>
    </row>
    <row r="32" spans="1:6" ht="15" thickBot="1" x14ac:dyDescent="0.35">
      <c r="A32" s="145" t="s">
        <v>107</v>
      </c>
      <c r="B32" s="146">
        <f t="shared" ref="B32:F37" si="12">+B12/B$17</f>
        <v>0.43294709785080815</v>
      </c>
      <c r="C32" s="146">
        <f t="shared" si="12"/>
        <v>0.91907890421740746</v>
      </c>
      <c r="D32" s="146">
        <f t="shared" si="12"/>
        <v>0.56965330741557962</v>
      </c>
      <c r="E32" s="146">
        <f t="shared" si="12"/>
        <v>0.62637058035559479</v>
      </c>
      <c r="F32" s="148">
        <f t="shared" si="12"/>
        <v>0.74709769533306636</v>
      </c>
    </row>
    <row r="33" spans="1:6" x14ac:dyDescent="0.3">
      <c r="A33" s="87" t="s">
        <v>96</v>
      </c>
      <c r="B33" s="85">
        <f t="shared" si="12"/>
        <v>0.56271272225865077</v>
      </c>
      <c r="C33" s="85">
        <f t="shared" si="12"/>
        <v>8.0921095782592531E-2</v>
      </c>
      <c r="D33" s="85">
        <f t="shared" si="12"/>
        <v>0.35574576336212027</v>
      </c>
      <c r="E33" s="85">
        <f t="shared" si="12"/>
        <v>0.36981630979427715</v>
      </c>
      <c r="F33" s="166">
        <f t="shared" si="12"/>
        <v>0.14269236174517466</v>
      </c>
    </row>
    <row r="34" spans="1:6" x14ac:dyDescent="0.3">
      <c r="A34" s="87" t="s">
        <v>97</v>
      </c>
      <c r="B34" s="85">
        <f t="shared" si="12"/>
        <v>0</v>
      </c>
      <c r="C34" s="85">
        <f t="shared" si="12"/>
        <v>0</v>
      </c>
      <c r="D34" s="85">
        <f t="shared" si="12"/>
        <v>0</v>
      </c>
      <c r="E34" s="85">
        <f t="shared" si="12"/>
        <v>0</v>
      </c>
      <c r="F34" s="166">
        <f t="shared" si="12"/>
        <v>9.2589433527993911E-2</v>
      </c>
    </row>
    <row r="35" spans="1:6" ht="15" thickBot="1" x14ac:dyDescent="0.35">
      <c r="A35" s="87" t="s">
        <v>98</v>
      </c>
      <c r="B35" s="85">
        <f t="shared" si="12"/>
        <v>4.3401798905410901E-3</v>
      </c>
      <c r="C35" s="85">
        <f t="shared" si="12"/>
        <v>0</v>
      </c>
      <c r="D35" s="85">
        <f t="shared" si="12"/>
        <v>7.4600929222300161E-2</v>
      </c>
      <c r="E35" s="85">
        <f t="shared" si="12"/>
        <v>3.8131098501280642E-3</v>
      </c>
      <c r="F35" s="166">
        <f t="shared" si="12"/>
        <v>1.7620509393765027E-2</v>
      </c>
    </row>
    <row r="36" spans="1:6" ht="15" thickBot="1" x14ac:dyDescent="0.35">
      <c r="A36" s="147" t="s">
        <v>111</v>
      </c>
      <c r="B36" s="148">
        <f t="shared" si="12"/>
        <v>0.56705290214919191</v>
      </c>
      <c r="C36" s="148">
        <f t="shared" si="12"/>
        <v>8.0921095782592531E-2</v>
      </c>
      <c r="D36" s="148">
        <f t="shared" si="12"/>
        <v>0.43034669258442043</v>
      </c>
      <c r="E36" s="148">
        <f t="shared" si="12"/>
        <v>0.37362941964440521</v>
      </c>
      <c r="F36" s="148">
        <f t="shared" si="12"/>
        <v>0.25290230466693359</v>
      </c>
    </row>
    <row r="37" spans="1:6" ht="15" thickBot="1" x14ac:dyDescent="0.35">
      <c r="A37" s="149" t="s">
        <v>86</v>
      </c>
      <c r="B37" s="150">
        <f t="shared" si="12"/>
        <v>1</v>
      </c>
      <c r="C37" s="150">
        <f t="shared" si="12"/>
        <v>1</v>
      </c>
      <c r="D37" s="150">
        <f t="shared" si="12"/>
        <v>1</v>
      </c>
      <c r="E37" s="150">
        <f t="shared" si="12"/>
        <v>1</v>
      </c>
      <c r="F37" s="150">
        <f t="shared" si="12"/>
        <v>1</v>
      </c>
    </row>
    <row r="39" spans="1:6" x14ac:dyDescent="0.3">
      <c r="A39" s="28" t="s">
        <v>501</v>
      </c>
    </row>
    <row r="40" spans="1:6" x14ac:dyDescent="0.3">
      <c r="A40" s="28" t="s">
        <v>122</v>
      </c>
    </row>
    <row r="41" spans="1:6" x14ac:dyDescent="0.3">
      <c r="A41" s="28" t="s">
        <v>123</v>
      </c>
    </row>
    <row r="42" spans="1:6" x14ac:dyDescent="0.3">
      <c r="A42" s="95">
        <v>41008</v>
      </c>
      <c r="B42" s="96"/>
      <c r="C42" s="96"/>
    </row>
  </sheetData>
  <mergeCells count="2">
    <mergeCell ref="A1:F1"/>
    <mergeCell ref="A22:F22"/>
  </mergeCells>
  <hyperlinks>
    <hyperlink ref="A1:F1" location="CONTENIDO!A1" display="CONTENIDO!A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9" workbookViewId="0">
      <selection activeCell="E43" sqref="E43"/>
    </sheetView>
  </sheetViews>
  <sheetFormatPr baseColWidth="10" defaultRowHeight="14.4" x14ac:dyDescent="0.3"/>
  <cols>
    <col min="1" max="1" width="32.453125" style="96" customWidth="1"/>
    <col min="2" max="2" width="9.54296875" style="96" customWidth="1"/>
    <col min="3" max="3" width="9" style="96" customWidth="1"/>
    <col min="4" max="4" width="9.7265625" style="96" customWidth="1"/>
    <col min="5" max="5" width="10" style="96" customWidth="1"/>
    <col min="6" max="6" width="9.26953125" style="96" customWidth="1"/>
    <col min="7" max="7" width="9" style="96" customWidth="1"/>
    <col min="8" max="16384" width="10.90625" style="28"/>
  </cols>
  <sheetData>
    <row r="1" spans="1:7" ht="15" thickBot="1" x14ac:dyDescent="0.35">
      <c r="A1" s="221" t="s">
        <v>146</v>
      </c>
      <c r="B1" s="222"/>
      <c r="C1" s="222"/>
      <c r="D1" s="222"/>
      <c r="E1" s="222"/>
      <c r="F1" s="222"/>
      <c r="G1" s="222"/>
    </row>
    <row r="2" spans="1:7" x14ac:dyDescent="0.3">
      <c r="A2" s="220" t="s">
        <v>145</v>
      </c>
      <c r="B2" s="220"/>
      <c r="C2" s="220"/>
      <c r="D2" s="220"/>
      <c r="E2" s="220"/>
      <c r="F2" s="220"/>
      <c r="G2" s="220"/>
    </row>
    <row r="3" spans="1:7" ht="15" thickBot="1" x14ac:dyDescent="0.35"/>
    <row r="4" spans="1:7" ht="15" thickBot="1" x14ac:dyDescent="0.35">
      <c r="A4" s="155" t="s">
        <v>0</v>
      </c>
      <c r="B4" s="155" t="s">
        <v>46</v>
      </c>
      <c r="C4" s="155" t="s">
        <v>47</v>
      </c>
      <c r="D4" s="155" t="s">
        <v>35</v>
      </c>
      <c r="E4" s="155" t="s">
        <v>44</v>
      </c>
      <c r="F4" s="155" t="s">
        <v>45</v>
      </c>
      <c r="G4" s="155" t="s">
        <v>48</v>
      </c>
    </row>
    <row r="5" spans="1:7" x14ac:dyDescent="0.3">
      <c r="A5" s="48" t="s">
        <v>87</v>
      </c>
      <c r="B5" s="49">
        <v>810281</v>
      </c>
      <c r="C5" s="49">
        <v>214583</v>
      </c>
      <c r="D5" s="49">
        <v>7735811</v>
      </c>
      <c r="E5" s="49">
        <v>1715233</v>
      </c>
      <c r="F5" s="49">
        <v>762613</v>
      </c>
      <c r="G5" s="50">
        <v>592608</v>
      </c>
    </row>
    <row r="6" spans="1:7" x14ac:dyDescent="0.3">
      <c r="A6" s="87" t="s">
        <v>89</v>
      </c>
      <c r="B6" s="54">
        <v>39801</v>
      </c>
      <c r="C6" s="54">
        <v>206385</v>
      </c>
      <c r="D6" s="54">
        <v>1606834</v>
      </c>
      <c r="E6" s="54">
        <v>93742</v>
      </c>
      <c r="F6" s="54">
        <v>48330</v>
      </c>
      <c r="G6" s="57">
        <v>149924</v>
      </c>
    </row>
    <row r="7" spans="1:7" x14ac:dyDescent="0.3">
      <c r="A7" s="87" t="s">
        <v>90</v>
      </c>
      <c r="B7" s="54">
        <v>0</v>
      </c>
      <c r="C7" s="54">
        <v>0</v>
      </c>
      <c r="D7" s="54">
        <v>111508</v>
      </c>
      <c r="E7" s="54">
        <v>118149</v>
      </c>
      <c r="F7" s="54">
        <v>1800</v>
      </c>
      <c r="G7" s="57">
        <v>0</v>
      </c>
    </row>
    <row r="8" spans="1:7" x14ac:dyDescent="0.3">
      <c r="A8" s="87" t="s">
        <v>91</v>
      </c>
      <c r="B8" s="54">
        <v>245691</v>
      </c>
      <c r="C8" s="54">
        <v>313423</v>
      </c>
      <c r="D8" s="54">
        <v>9416572</v>
      </c>
      <c r="E8" s="54">
        <v>1059520</v>
      </c>
      <c r="F8" s="54">
        <v>330783</v>
      </c>
      <c r="G8" s="57">
        <v>256671</v>
      </c>
    </row>
    <row r="9" spans="1:7" x14ac:dyDescent="0.3">
      <c r="A9" s="87" t="s">
        <v>93</v>
      </c>
      <c r="B9" s="54">
        <v>383045</v>
      </c>
      <c r="C9" s="54">
        <v>336351</v>
      </c>
      <c r="D9" s="54">
        <v>9076371</v>
      </c>
      <c r="E9" s="54">
        <v>2094332</v>
      </c>
      <c r="F9" s="54">
        <v>422638</v>
      </c>
      <c r="G9" s="57">
        <v>479868</v>
      </c>
    </row>
    <row r="10" spans="1:7" x14ac:dyDescent="0.3">
      <c r="A10" s="87" t="s">
        <v>134</v>
      </c>
      <c r="B10" s="54">
        <v>193594</v>
      </c>
      <c r="C10" s="54">
        <v>340187</v>
      </c>
      <c r="D10" s="54">
        <v>13031730</v>
      </c>
      <c r="E10" s="54">
        <v>305324</v>
      </c>
      <c r="F10" s="54">
        <v>165000</v>
      </c>
      <c r="G10" s="57">
        <v>138569</v>
      </c>
    </row>
    <row r="11" spans="1:7" ht="15" thickBot="1" x14ac:dyDescent="0.35">
      <c r="A11" s="87" t="s">
        <v>95</v>
      </c>
      <c r="B11" s="54">
        <v>5100</v>
      </c>
      <c r="C11" s="54">
        <v>0</v>
      </c>
      <c r="D11" s="54">
        <v>43465</v>
      </c>
      <c r="E11" s="54">
        <v>0</v>
      </c>
      <c r="F11" s="54">
        <v>0</v>
      </c>
      <c r="G11" s="57">
        <v>107026</v>
      </c>
    </row>
    <row r="12" spans="1:7" ht="15" thickBot="1" x14ac:dyDescent="0.35">
      <c r="A12" s="145" t="s">
        <v>107</v>
      </c>
      <c r="B12" s="167">
        <f>SUM(B5:B11)</f>
        <v>1677512</v>
      </c>
      <c r="C12" s="167">
        <f t="shared" ref="C12:G12" si="0">SUM(C5:C11)</f>
        <v>1410929</v>
      </c>
      <c r="D12" s="167">
        <f t="shared" si="0"/>
        <v>41022291</v>
      </c>
      <c r="E12" s="167">
        <f t="shared" si="0"/>
        <v>5386300</v>
      </c>
      <c r="F12" s="167">
        <f t="shared" si="0"/>
        <v>1731164</v>
      </c>
      <c r="G12" s="167">
        <f t="shared" si="0"/>
        <v>1724666</v>
      </c>
    </row>
    <row r="13" spans="1:7" x14ac:dyDescent="0.3">
      <c r="A13" s="87" t="s">
        <v>96</v>
      </c>
      <c r="B13" s="54">
        <v>3119286</v>
      </c>
      <c r="C13" s="54">
        <v>331232</v>
      </c>
      <c r="D13" s="54">
        <v>10068734</v>
      </c>
      <c r="E13" s="54">
        <v>1630433</v>
      </c>
      <c r="F13" s="54">
        <v>259131</v>
      </c>
      <c r="G13" s="57">
        <v>331232</v>
      </c>
    </row>
    <row r="14" spans="1:7" x14ac:dyDescent="0.3">
      <c r="A14" s="87" t="s">
        <v>97</v>
      </c>
      <c r="B14" s="54">
        <v>0</v>
      </c>
      <c r="C14" s="54">
        <v>70396</v>
      </c>
      <c r="D14" s="54">
        <v>126220</v>
      </c>
      <c r="E14" s="54">
        <v>384024</v>
      </c>
      <c r="F14" s="54">
        <v>30000</v>
      </c>
      <c r="G14" s="57">
        <v>63202</v>
      </c>
    </row>
    <row r="15" spans="1:7" ht="15" thickBot="1" x14ac:dyDescent="0.35">
      <c r="A15" s="87" t="s">
        <v>98</v>
      </c>
      <c r="B15" s="54">
        <v>11807</v>
      </c>
      <c r="C15" s="54">
        <v>110112</v>
      </c>
      <c r="D15" s="54">
        <v>358751</v>
      </c>
      <c r="E15" s="54">
        <v>207540</v>
      </c>
      <c r="F15" s="54">
        <v>26000</v>
      </c>
      <c r="G15" s="57">
        <v>110112</v>
      </c>
    </row>
    <row r="16" spans="1:7" ht="15" thickBot="1" x14ac:dyDescent="0.35">
      <c r="A16" s="145" t="s">
        <v>111</v>
      </c>
      <c r="B16" s="167">
        <f>SUM(B13:B15)</f>
        <v>3131093</v>
      </c>
      <c r="C16" s="167">
        <f t="shared" ref="C16:G16" si="1">SUM(C13:C15)</f>
        <v>511740</v>
      </c>
      <c r="D16" s="167">
        <f t="shared" si="1"/>
        <v>10553705</v>
      </c>
      <c r="E16" s="167">
        <f t="shared" si="1"/>
        <v>2221997</v>
      </c>
      <c r="F16" s="167">
        <f t="shared" si="1"/>
        <v>315131</v>
      </c>
      <c r="G16" s="167">
        <f t="shared" si="1"/>
        <v>504546</v>
      </c>
    </row>
    <row r="17" spans="1:7" ht="15" thickBot="1" x14ac:dyDescent="0.35">
      <c r="A17" s="149" t="s">
        <v>86</v>
      </c>
      <c r="B17" s="157">
        <f>+B12+B16</f>
        <v>4808605</v>
      </c>
      <c r="C17" s="157">
        <f t="shared" ref="C17:G17" si="2">+C12+C16</f>
        <v>1922669</v>
      </c>
      <c r="D17" s="157">
        <f t="shared" si="2"/>
        <v>51575996</v>
      </c>
      <c r="E17" s="157">
        <f t="shared" si="2"/>
        <v>7608297</v>
      </c>
      <c r="F17" s="157">
        <f t="shared" si="2"/>
        <v>2046295</v>
      </c>
      <c r="G17" s="157">
        <f t="shared" si="2"/>
        <v>2229212</v>
      </c>
    </row>
    <row r="18" spans="1:7" x14ac:dyDescent="0.3">
      <c r="A18" s="87" t="s">
        <v>1</v>
      </c>
      <c r="B18" s="54">
        <v>1192</v>
      </c>
      <c r="C18" s="54">
        <v>678</v>
      </c>
      <c r="D18" s="54">
        <v>5860</v>
      </c>
      <c r="E18" s="54">
        <v>2956</v>
      </c>
      <c r="F18" s="54">
        <v>544</v>
      </c>
      <c r="G18" s="57">
        <v>1377</v>
      </c>
    </row>
    <row r="19" spans="1:7" x14ac:dyDescent="0.3">
      <c r="A19" s="87" t="s">
        <v>2</v>
      </c>
      <c r="B19" s="54">
        <v>46495</v>
      </c>
      <c r="C19" s="54">
        <v>0</v>
      </c>
      <c r="D19" s="54">
        <v>72740</v>
      </c>
      <c r="E19" s="54">
        <v>9971</v>
      </c>
      <c r="F19" s="54">
        <v>823</v>
      </c>
      <c r="G19" s="57">
        <v>0</v>
      </c>
    </row>
    <row r="20" spans="1:7" ht="15" thickBot="1" x14ac:dyDescent="0.35">
      <c r="A20" s="101" t="s">
        <v>85</v>
      </c>
      <c r="B20" s="102">
        <v>13</v>
      </c>
      <c r="C20" s="102">
        <v>1</v>
      </c>
      <c r="D20" s="102">
        <v>181</v>
      </c>
      <c r="E20" s="102">
        <v>23</v>
      </c>
      <c r="F20" s="102">
        <v>3</v>
      </c>
      <c r="G20" s="104">
        <v>6</v>
      </c>
    </row>
    <row r="21" spans="1:7" ht="15" thickBot="1" x14ac:dyDescent="0.35"/>
    <row r="22" spans="1:7" ht="15" thickBot="1" x14ac:dyDescent="0.35">
      <c r="A22" s="186" t="s">
        <v>118</v>
      </c>
      <c r="B22" s="209"/>
      <c r="C22" s="209"/>
      <c r="D22" s="209"/>
      <c r="E22" s="209"/>
      <c r="F22" s="209"/>
      <c r="G22" s="210"/>
    </row>
    <row r="23" spans="1:7" ht="15" thickBot="1" x14ac:dyDescent="0.35">
      <c r="A23" s="28"/>
      <c r="B23" s="28"/>
      <c r="C23" s="28"/>
      <c r="D23" s="28"/>
      <c r="E23" s="28"/>
      <c r="F23" s="28"/>
    </row>
    <row r="24" spans="1:7" ht="15" thickBot="1" x14ac:dyDescent="0.35">
      <c r="A24" s="48" t="s">
        <v>87</v>
      </c>
      <c r="B24" s="164">
        <f>+B5/B$17</f>
        <v>0.16850645873387396</v>
      </c>
      <c r="C24" s="164">
        <f t="shared" ref="C24:G24" si="3">+C5/C$17</f>
        <v>0.11160683404163692</v>
      </c>
      <c r="D24" s="164">
        <f t="shared" si="3"/>
        <v>0.1499885915921042</v>
      </c>
      <c r="E24" s="164">
        <f t="shared" si="3"/>
        <v>0.22544243475248141</v>
      </c>
      <c r="F24" s="164">
        <f t="shared" si="3"/>
        <v>0.37267989219540681</v>
      </c>
      <c r="G24" s="164">
        <f t="shared" si="3"/>
        <v>0.26583743493216438</v>
      </c>
    </row>
    <row r="25" spans="1:7" ht="15" thickBot="1" x14ac:dyDescent="0.35">
      <c r="A25" s="87" t="s">
        <v>89</v>
      </c>
      <c r="B25" s="164">
        <f t="shared" ref="B25:G25" si="4">+B6/B$17</f>
        <v>8.2770366873552732E-3</v>
      </c>
      <c r="C25" s="164">
        <f t="shared" si="4"/>
        <v>0.10734296959070957</v>
      </c>
      <c r="D25" s="164">
        <f t="shared" si="4"/>
        <v>3.1154686765525574E-2</v>
      </c>
      <c r="E25" s="164">
        <f t="shared" si="4"/>
        <v>1.2321022694040467E-2</v>
      </c>
      <c r="F25" s="164">
        <f t="shared" si="4"/>
        <v>2.3618295504802583E-2</v>
      </c>
      <c r="G25" s="164">
        <f t="shared" si="4"/>
        <v>6.7254258455454213E-2</v>
      </c>
    </row>
    <row r="26" spans="1:7" ht="15" thickBot="1" x14ac:dyDescent="0.35">
      <c r="A26" s="87" t="s">
        <v>90</v>
      </c>
      <c r="B26" s="164">
        <f t="shared" ref="B26:G26" si="5">+B7/B$17</f>
        <v>0</v>
      </c>
      <c r="C26" s="164">
        <f t="shared" si="5"/>
        <v>0</v>
      </c>
      <c r="D26" s="164">
        <f t="shared" si="5"/>
        <v>2.1620135072137046E-3</v>
      </c>
      <c r="E26" s="164">
        <f t="shared" si="5"/>
        <v>1.5528967914896066E-2</v>
      </c>
      <c r="F26" s="164">
        <f t="shared" si="5"/>
        <v>8.7963856628687457E-4</v>
      </c>
      <c r="G26" s="164">
        <f t="shared" si="5"/>
        <v>0</v>
      </c>
    </row>
    <row r="27" spans="1:7" ht="15" thickBot="1" x14ac:dyDescent="0.35">
      <c r="A27" s="87" t="s">
        <v>91</v>
      </c>
      <c r="B27" s="164">
        <f t="shared" ref="B27:G27" si="6">+B8/B$17</f>
        <v>5.1094028309665696E-2</v>
      </c>
      <c r="C27" s="164">
        <f t="shared" si="6"/>
        <v>0.16301453864393714</v>
      </c>
      <c r="D27" s="164">
        <f t="shared" si="6"/>
        <v>0.18257663894653628</v>
      </c>
      <c r="E27" s="164">
        <f t="shared" si="6"/>
        <v>0.13925849634944587</v>
      </c>
      <c r="F27" s="164">
        <f t="shared" si="6"/>
        <v>0.1616497132622618</v>
      </c>
      <c r="G27" s="164">
        <f t="shared" si="6"/>
        <v>0.11513978930671466</v>
      </c>
    </row>
    <row r="28" spans="1:7" ht="15" thickBot="1" x14ac:dyDescent="0.35">
      <c r="A28" s="87" t="s">
        <v>92</v>
      </c>
      <c r="B28" s="164">
        <f t="shared" ref="B28:G28" si="7">+B9/B$17</f>
        <v>7.9658237680158797E-2</v>
      </c>
      <c r="C28" s="164">
        <f t="shared" si="7"/>
        <v>0.17493962819393249</v>
      </c>
      <c r="D28" s="164">
        <f t="shared" si="7"/>
        <v>0.17598052784089716</v>
      </c>
      <c r="E28" s="164">
        <f t="shared" si="7"/>
        <v>0.27526948540520962</v>
      </c>
      <c r="F28" s="164">
        <f t="shared" si="7"/>
        <v>0.2065381579879734</v>
      </c>
      <c r="G28" s="164">
        <f t="shared" si="7"/>
        <v>0.21526351015515796</v>
      </c>
    </row>
    <row r="29" spans="1:7" ht="15" thickBot="1" x14ac:dyDescent="0.35">
      <c r="A29" s="87" t="s">
        <v>126</v>
      </c>
      <c r="B29" s="164">
        <f t="shared" ref="B29:G29" si="8">+B10/B$17</f>
        <v>4.0259909058864264E-2</v>
      </c>
      <c r="C29" s="164">
        <f t="shared" si="8"/>
        <v>0.17693477140371017</v>
      </c>
      <c r="D29" s="164">
        <f t="shared" si="8"/>
        <v>0.25267044770206665</v>
      </c>
      <c r="E29" s="164">
        <f t="shared" si="8"/>
        <v>4.0130399746487286E-2</v>
      </c>
      <c r="F29" s="164">
        <f t="shared" si="8"/>
        <v>8.0633535242963503E-2</v>
      </c>
      <c r="G29" s="164">
        <f t="shared" si="8"/>
        <v>6.2160530268094732E-2</v>
      </c>
    </row>
    <row r="30" spans="1:7" ht="15" thickBot="1" x14ac:dyDescent="0.35">
      <c r="A30" s="87" t="s">
        <v>94</v>
      </c>
      <c r="B30" s="164">
        <f t="shared" ref="B30:G30" si="9">+B11/B$17</f>
        <v>1.0605986559511543E-3</v>
      </c>
      <c r="C30" s="164">
        <f t="shared" si="9"/>
        <v>0</v>
      </c>
      <c r="D30" s="164">
        <f t="shared" si="9"/>
        <v>8.4273699726516191E-4</v>
      </c>
      <c r="E30" s="164">
        <f t="shared" si="9"/>
        <v>0</v>
      </c>
      <c r="F30" s="164">
        <f t="shared" si="9"/>
        <v>0</v>
      </c>
      <c r="G30" s="164">
        <f t="shared" si="9"/>
        <v>4.8010687184529777E-2</v>
      </c>
    </row>
    <row r="31" spans="1:7" ht="15" thickBot="1" x14ac:dyDescent="0.35">
      <c r="A31" s="87" t="s">
        <v>95</v>
      </c>
      <c r="B31" s="164">
        <f t="shared" ref="B31:G31" si="10">+B12/B$17</f>
        <v>0.34885626912586915</v>
      </c>
      <c r="C31" s="164">
        <f t="shared" si="10"/>
        <v>0.73383874187392628</v>
      </c>
      <c r="D31" s="164">
        <f t="shared" si="10"/>
        <v>0.79537564335160871</v>
      </c>
      <c r="E31" s="164">
        <f t="shared" si="10"/>
        <v>0.70795080686256073</v>
      </c>
      <c r="F31" s="164">
        <f t="shared" si="10"/>
        <v>0.84599923275969491</v>
      </c>
      <c r="G31" s="164">
        <f t="shared" si="10"/>
        <v>0.77366621030211569</v>
      </c>
    </row>
    <row r="32" spans="1:7" ht="15" thickBot="1" x14ac:dyDescent="0.35">
      <c r="A32" s="145" t="s">
        <v>107</v>
      </c>
      <c r="B32" s="146">
        <f>+B12/B$17</f>
        <v>0.34885626912586915</v>
      </c>
      <c r="C32" s="146">
        <f t="shared" ref="C32:G32" si="11">+C12/C$17</f>
        <v>0.73383874187392628</v>
      </c>
      <c r="D32" s="146">
        <f t="shared" si="11"/>
        <v>0.79537564335160871</v>
      </c>
      <c r="E32" s="146">
        <f t="shared" si="11"/>
        <v>0.70795080686256073</v>
      </c>
      <c r="F32" s="146">
        <f t="shared" si="11"/>
        <v>0.84599923275969491</v>
      </c>
      <c r="G32" s="146">
        <f t="shared" si="11"/>
        <v>0.77366621030211569</v>
      </c>
    </row>
    <row r="33" spans="1:7" ht="15" thickBot="1" x14ac:dyDescent="0.35">
      <c r="A33" s="87" t="s">
        <v>96</v>
      </c>
      <c r="B33" s="164">
        <f t="shared" ref="B33:G33" si="12">+B14/B$17</f>
        <v>0</v>
      </c>
      <c r="C33" s="164">
        <f t="shared" si="12"/>
        <v>3.6613686495179355E-2</v>
      </c>
      <c r="D33" s="164">
        <f t="shared" si="12"/>
        <v>2.447262482337714E-3</v>
      </c>
      <c r="E33" s="164">
        <f t="shared" si="12"/>
        <v>5.0474370282863563E-2</v>
      </c>
      <c r="F33" s="164">
        <f t="shared" si="12"/>
        <v>1.4660642771447909E-2</v>
      </c>
      <c r="G33" s="164">
        <f t="shared" si="12"/>
        <v>2.8351722492073433E-2</v>
      </c>
    </row>
    <row r="34" spans="1:7" ht="15" thickBot="1" x14ac:dyDescent="0.35">
      <c r="A34" s="87" t="s">
        <v>97</v>
      </c>
      <c r="B34" s="164">
        <f t="shared" ref="B34:G34" si="13">+B15/B$17</f>
        <v>2.4553898687873096E-3</v>
      </c>
      <c r="C34" s="164">
        <f t="shared" si="13"/>
        <v>5.7270388194743872E-2</v>
      </c>
      <c r="D34" s="164">
        <f t="shared" si="13"/>
        <v>6.9557745428706795E-3</v>
      </c>
      <c r="E34" s="164">
        <f t="shared" si="13"/>
        <v>2.727811493163319E-2</v>
      </c>
      <c r="F34" s="164">
        <f t="shared" si="13"/>
        <v>1.2705890401921521E-2</v>
      </c>
      <c r="G34" s="164">
        <f t="shared" si="13"/>
        <v>4.9395032863630735E-2</v>
      </c>
    </row>
    <row r="35" spans="1:7" ht="15" thickBot="1" x14ac:dyDescent="0.35">
      <c r="A35" s="87" t="s">
        <v>98</v>
      </c>
      <c r="B35" s="164">
        <f t="shared" ref="B35:G35" si="14">+B16/B$17</f>
        <v>0.65114373087413091</v>
      </c>
      <c r="C35" s="164">
        <f t="shared" si="14"/>
        <v>0.26616125812607372</v>
      </c>
      <c r="D35" s="164">
        <f t="shared" si="14"/>
        <v>0.20462435664839124</v>
      </c>
      <c r="E35" s="164">
        <f t="shared" si="14"/>
        <v>0.29204919313743932</v>
      </c>
      <c r="F35" s="164">
        <f t="shared" si="14"/>
        <v>0.15400076724030504</v>
      </c>
      <c r="G35" s="164">
        <f t="shared" si="14"/>
        <v>0.22633378969788429</v>
      </c>
    </row>
    <row r="36" spans="1:7" ht="15" thickBot="1" x14ac:dyDescent="0.35">
      <c r="A36" s="147" t="s">
        <v>111</v>
      </c>
      <c r="B36" s="148">
        <f>+B16/B$17</f>
        <v>0.65114373087413091</v>
      </c>
      <c r="C36" s="148">
        <f t="shared" ref="C36:G36" si="15">+C16/C$17</f>
        <v>0.26616125812607372</v>
      </c>
      <c r="D36" s="148">
        <f t="shared" si="15"/>
        <v>0.20462435664839124</v>
      </c>
      <c r="E36" s="148">
        <f t="shared" si="15"/>
        <v>0.29204919313743932</v>
      </c>
      <c r="F36" s="148">
        <f t="shared" si="15"/>
        <v>0.15400076724030504</v>
      </c>
      <c r="G36" s="148">
        <f t="shared" si="15"/>
        <v>0.22633378969788429</v>
      </c>
    </row>
    <row r="37" spans="1:7" ht="15" thickBot="1" x14ac:dyDescent="0.35">
      <c r="A37" s="149" t="s">
        <v>86</v>
      </c>
      <c r="B37" s="169">
        <f>+B17/B$17</f>
        <v>1</v>
      </c>
      <c r="C37" s="169">
        <f t="shared" ref="C37:G37" si="16">+C17/C$17</f>
        <v>1</v>
      </c>
      <c r="D37" s="169">
        <f t="shared" si="16"/>
        <v>1</v>
      </c>
      <c r="E37" s="169">
        <f t="shared" si="16"/>
        <v>1</v>
      </c>
      <c r="F37" s="169">
        <f t="shared" si="16"/>
        <v>1</v>
      </c>
      <c r="G37" s="169">
        <f t="shared" si="16"/>
        <v>1</v>
      </c>
    </row>
    <row r="38" spans="1:7" x14ac:dyDescent="0.3">
      <c r="A38" s="28"/>
      <c r="B38" s="28"/>
      <c r="C38" s="28"/>
      <c r="D38" s="28"/>
      <c r="E38" s="28"/>
      <c r="F38" s="28"/>
    </row>
    <row r="39" spans="1:7" x14ac:dyDescent="0.3">
      <c r="A39" s="28" t="s">
        <v>502</v>
      </c>
      <c r="B39" s="28"/>
      <c r="C39" s="28"/>
      <c r="D39" s="28"/>
      <c r="E39" s="28"/>
      <c r="F39" s="28"/>
    </row>
    <row r="40" spans="1:7" x14ac:dyDescent="0.3">
      <c r="A40" s="28" t="s">
        <v>122</v>
      </c>
      <c r="B40" s="28"/>
      <c r="C40" s="28"/>
      <c r="D40" s="28"/>
      <c r="E40" s="28"/>
      <c r="F40" s="28"/>
    </row>
    <row r="41" spans="1:7" x14ac:dyDescent="0.3">
      <c r="A41" s="28" t="s">
        <v>123</v>
      </c>
      <c r="B41" s="28"/>
      <c r="C41" s="28"/>
      <c r="D41" s="28"/>
      <c r="E41" s="28"/>
      <c r="F41" s="28"/>
    </row>
    <row r="42" spans="1:7" x14ac:dyDescent="0.3">
      <c r="A42" s="95">
        <v>41008</v>
      </c>
      <c r="D42" s="28"/>
      <c r="E42" s="28"/>
      <c r="F42" s="28"/>
    </row>
  </sheetData>
  <sortState ref="A5:P33">
    <sortCondition ref="B5:B33"/>
  </sortState>
  <mergeCells count="3">
    <mergeCell ref="A22:G22"/>
    <mergeCell ref="A2:G2"/>
    <mergeCell ref="A1:G1"/>
  </mergeCells>
  <hyperlinks>
    <hyperlink ref="A1:G1" location="CONTENIDO!A1" display="TRABAJOS AEREOS ESPECIALES - AVIACION AGRICOLA - COSTOS DE OPERACIÓN  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9" workbookViewId="0">
      <selection activeCell="H44" sqref="H44"/>
    </sheetView>
  </sheetViews>
  <sheetFormatPr baseColWidth="10" defaultRowHeight="14.4" x14ac:dyDescent="0.3"/>
  <cols>
    <col min="1" max="1" width="32.453125" style="96" customWidth="1"/>
    <col min="2" max="2" width="7.453125" style="96" customWidth="1"/>
    <col min="3" max="4" width="9" style="96" customWidth="1"/>
    <col min="5" max="5" width="9.81640625" style="96" customWidth="1"/>
    <col min="6" max="6" width="10.1796875" style="96" customWidth="1"/>
    <col min="7" max="7" width="9.26953125" style="96" customWidth="1"/>
    <col min="8" max="8" width="9" style="96" customWidth="1"/>
    <col min="9" max="9" width="10" style="96" customWidth="1"/>
    <col min="10" max="10" width="13.81640625" style="96" customWidth="1"/>
    <col min="11" max="11" width="11.7265625" style="96" customWidth="1"/>
    <col min="12" max="12" width="10.90625" style="96" customWidth="1"/>
    <col min="13" max="13" width="12.54296875" style="96" customWidth="1"/>
    <col min="14" max="15" width="7.7265625" style="96" customWidth="1"/>
    <col min="16" max="16" width="10.6328125" style="97" customWidth="1"/>
    <col min="17" max="16384" width="10.90625" style="28"/>
  </cols>
  <sheetData>
    <row r="1" spans="1:8" ht="15" thickBot="1" x14ac:dyDescent="0.35">
      <c r="A1" s="221" t="s">
        <v>135</v>
      </c>
      <c r="B1" s="222"/>
      <c r="C1" s="222"/>
      <c r="D1" s="222"/>
      <c r="E1" s="222"/>
      <c r="F1" s="222"/>
      <c r="G1" s="222"/>
      <c r="H1" s="223"/>
    </row>
    <row r="2" spans="1:8" ht="15" thickBot="1" x14ac:dyDescent="0.35"/>
    <row r="3" spans="1:8" ht="15" thickBot="1" x14ac:dyDescent="0.35">
      <c r="A3" s="155" t="s">
        <v>0</v>
      </c>
      <c r="B3" s="155" t="s">
        <v>46</v>
      </c>
      <c r="C3" s="155" t="s">
        <v>50</v>
      </c>
      <c r="D3" s="155" t="s">
        <v>49</v>
      </c>
      <c r="E3" s="155" t="s">
        <v>35</v>
      </c>
      <c r="F3" s="155" t="s">
        <v>44</v>
      </c>
      <c r="G3" s="155" t="s">
        <v>45</v>
      </c>
      <c r="H3" s="155" t="s">
        <v>51</v>
      </c>
    </row>
    <row r="4" spans="1:8" x14ac:dyDescent="0.3">
      <c r="A4" s="48" t="s">
        <v>87</v>
      </c>
      <c r="B4" s="49">
        <v>154633</v>
      </c>
      <c r="C4" s="49">
        <v>2092602</v>
      </c>
      <c r="D4" s="49">
        <v>585223</v>
      </c>
      <c r="E4" s="49">
        <v>2604383</v>
      </c>
      <c r="F4" s="49">
        <v>2840052</v>
      </c>
      <c r="G4" s="49">
        <v>710713</v>
      </c>
      <c r="H4" s="50">
        <v>271245</v>
      </c>
    </row>
    <row r="5" spans="1:8" x14ac:dyDescent="0.3">
      <c r="A5" s="87" t="s">
        <v>89</v>
      </c>
      <c r="B5" s="54">
        <v>18925</v>
      </c>
      <c r="C5" s="54">
        <v>238867</v>
      </c>
      <c r="D5" s="54">
        <v>141916</v>
      </c>
      <c r="E5" s="54">
        <v>399220</v>
      </c>
      <c r="F5" s="54">
        <v>97258</v>
      </c>
      <c r="G5" s="54">
        <v>252207</v>
      </c>
      <c r="H5" s="57">
        <v>238867</v>
      </c>
    </row>
    <row r="6" spans="1:8" x14ac:dyDescent="0.3">
      <c r="A6" s="87" t="s">
        <v>90</v>
      </c>
      <c r="B6" s="54">
        <v>0</v>
      </c>
      <c r="C6" s="54">
        <v>0</v>
      </c>
      <c r="D6" s="54">
        <v>71880</v>
      </c>
      <c r="E6" s="54">
        <v>9748</v>
      </c>
      <c r="F6" s="54">
        <v>5031</v>
      </c>
      <c r="G6" s="54">
        <v>1000</v>
      </c>
      <c r="H6" s="57">
        <v>0</v>
      </c>
    </row>
    <row r="7" spans="1:8" x14ac:dyDescent="0.3">
      <c r="A7" s="87" t="s">
        <v>136</v>
      </c>
      <c r="B7" s="54">
        <v>34699</v>
      </c>
      <c r="C7" s="54">
        <v>406830</v>
      </c>
      <c r="D7" s="54">
        <v>6018</v>
      </c>
      <c r="E7" s="54">
        <v>2855038</v>
      </c>
      <c r="F7" s="54">
        <v>2660108</v>
      </c>
      <c r="G7" s="54">
        <v>747393</v>
      </c>
      <c r="H7" s="57">
        <v>406830</v>
      </c>
    </row>
    <row r="8" spans="1:8" x14ac:dyDescent="0.3">
      <c r="A8" s="87" t="s">
        <v>93</v>
      </c>
      <c r="B8" s="54">
        <v>260000</v>
      </c>
      <c r="C8" s="54">
        <v>1155200</v>
      </c>
      <c r="D8" s="54">
        <v>1049572</v>
      </c>
      <c r="E8" s="54">
        <v>3645707</v>
      </c>
      <c r="F8" s="54">
        <v>3508669</v>
      </c>
      <c r="G8" s="54">
        <v>1195548</v>
      </c>
      <c r="H8" s="57">
        <v>1155200</v>
      </c>
    </row>
    <row r="9" spans="1:8" x14ac:dyDescent="0.3">
      <c r="A9" s="87" t="s">
        <v>94</v>
      </c>
      <c r="B9" s="54">
        <v>16393</v>
      </c>
      <c r="C9" s="54">
        <v>20460</v>
      </c>
      <c r="D9" s="54">
        <v>100338</v>
      </c>
      <c r="E9" s="54">
        <v>150418</v>
      </c>
      <c r="F9" s="54">
        <v>228002</v>
      </c>
      <c r="G9" s="54">
        <v>205460</v>
      </c>
      <c r="H9" s="57">
        <v>20460</v>
      </c>
    </row>
    <row r="10" spans="1:8" ht="15" thickBot="1" x14ac:dyDescent="0.35">
      <c r="A10" s="136" t="s">
        <v>137</v>
      </c>
      <c r="B10" s="137">
        <v>0</v>
      </c>
      <c r="C10" s="137">
        <v>0</v>
      </c>
      <c r="D10" s="137">
        <v>1473332</v>
      </c>
      <c r="E10" s="137">
        <v>50737</v>
      </c>
      <c r="F10" s="137">
        <v>19167</v>
      </c>
      <c r="G10" s="137">
        <v>0</v>
      </c>
      <c r="H10" s="138">
        <v>0</v>
      </c>
    </row>
    <row r="11" spans="1:8" ht="15" thickBot="1" x14ac:dyDescent="0.35">
      <c r="A11" s="145" t="s">
        <v>107</v>
      </c>
      <c r="B11" s="140">
        <f>SUM(B4:B10)</f>
        <v>484650</v>
      </c>
      <c r="C11" s="140">
        <f t="shared" ref="C11:H11" si="0">SUM(C4:C10)</f>
        <v>3913959</v>
      </c>
      <c r="D11" s="140">
        <f t="shared" si="0"/>
        <v>3428279</v>
      </c>
      <c r="E11" s="140">
        <f t="shared" si="0"/>
        <v>9715251</v>
      </c>
      <c r="F11" s="140">
        <f t="shared" si="0"/>
        <v>9358287</v>
      </c>
      <c r="G11" s="140">
        <f t="shared" si="0"/>
        <v>3112321</v>
      </c>
      <c r="H11" s="141">
        <f t="shared" si="0"/>
        <v>2092602</v>
      </c>
    </row>
    <row r="12" spans="1:8" x14ac:dyDescent="0.3">
      <c r="A12" s="52" t="s">
        <v>96</v>
      </c>
      <c r="B12" s="53">
        <v>154754</v>
      </c>
      <c r="C12" s="53">
        <v>763515</v>
      </c>
      <c r="D12" s="53">
        <v>11876</v>
      </c>
      <c r="E12" s="53">
        <v>3442987</v>
      </c>
      <c r="F12" s="53">
        <v>2583683</v>
      </c>
      <c r="G12" s="53">
        <v>947507</v>
      </c>
      <c r="H12" s="71">
        <v>763515</v>
      </c>
    </row>
    <row r="13" spans="1:8" x14ac:dyDescent="0.3">
      <c r="A13" s="87" t="s">
        <v>97</v>
      </c>
      <c r="B13" s="54">
        <v>0</v>
      </c>
      <c r="C13" s="54">
        <v>0</v>
      </c>
      <c r="D13" s="54">
        <v>0</v>
      </c>
      <c r="E13" s="54">
        <v>25355</v>
      </c>
      <c r="F13" s="54">
        <v>505346</v>
      </c>
      <c r="G13" s="54">
        <v>30000</v>
      </c>
      <c r="H13" s="57">
        <v>0</v>
      </c>
    </row>
    <row r="14" spans="1:8" ht="15" thickBot="1" x14ac:dyDescent="0.35">
      <c r="A14" s="136" t="s">
        <v>98</v>
      </c>
      <c r="B14" s="137">
        <v>4754</v>
      </c>
      <c r="C14" s="137">
        <v>56330</v>
      </c>
      <c r="D14" s="137">
        <v>0</v>
      </c>
      <c r="E14" s="137">
        <v>456215</v>
      </c>
      <c r="F14" s="137">
        <v>353987</v>
      </c>
      <c r="G14" s="137">
        <v>84330</v>
      </c>
      <c r="H14" s="138">
        <v>56330</v>
      </c>
    </row>
    <row r="15" spans="1:8" ht="15" thickBot="1" x14ac:dyDescent="0.35">
      <c r="A15" s="145" t="s">
        <v>111</v>
      </c>
      <c r="B15" s="140">
        <f>SUM(B12:B14)</f>
        <v>159508</v>
      </c>
      <c r="C15" s="140">
        <f t="shared" ref="C15:H15" si="1">SUM(C12:C14)</f>
        <v>819845</v>
      </c>
      <c r="D15" s="140">
        <f t="shared" si="1"/>
        <v>11876</v>
      </c>
      <c r="E15" s="140">
        <f t="shared" si="1"/>
        <v>3924557</v>
      </c>
      <c r="F15" s="140">
        <f t="shared" si="1"/>
        <v>3443016</v>
      </c>
      <c r="G15" s="140">
        <f t="shared" si="1"/>
        <v>1061837</v>
      </c>
      <c r="H15" s="141">
        <f t="shared" si="1"/>
        <v>819845</v>
      </c>
    </row>
    <row r="16" spans="1:8" ht="15" thickBot="1" x14ac:dyDescent="0.35">
      <c r="A16" s="149" t="s">
        <v>86</v>
      </c>
      <c r="B16" s="143">
        <f>+B11+B15</f>
        <v>644158</v>
      </c>
      <c r="C16" s="143">
        <f t="shared" ref="C16:H16" si="2">+C11+C15</f>
        <v>4733804</v>
      </c>
      <c r="D16" s="143">
        <f t="shared" si="2"/>
        <v>3440155</v>
      </c>
      <c r="E16" s="143">
        <f t="shared" si="2"/>
        <v>13639808</v>
      </c>
      <c r="F16" s="143">
        <f t="shared" si="2"/>
        <v>12801303</v>
      </c>
      <c r="G16" s="143">
        <f t="shared" si="2"/>
        <v>4174158</v>
      </c>
      <c r="H16" s="144">
        <f t="shared" si="2"/>
        <v>2912447</v>
      </c>
    </row>
    <row r="17" spans="1:16" x14ac:dyDescent="0.3">
      <c r="A17" s="52" t="s">
        <v>1</v>
      </c>
      <c r="B17" s="53">
        <v>0</v>
      </c>
      <c r="C17" s="53">
        <v>833</v>
      </c>
      <c r="D17" s="53">
        <v>70650</v>
      </c>
      <c r="E17" s="53">
        <v>6488</v>
      </c>
      <c r="F17" s="53">
        <v>6126</v>
      </c>
      <c r="G17" s="53">
        <v>721</v>
      </c>
      <c r="H17" s="71">
        <v>303</v>
      </c>
    </row>
    <row r="18" spans="1:16" x14ac:dyDescent="0.3">
      <c r="A18" s="87" t="s">
        <v>2</v>
      </c>
      <c r="B18" s="54">
        <v>0</v>
      </c>
      <c r="C18" s="54">
        <v>0</v>
      </c>
      <c r="D18" s="54">
        <v>1200</v>
      </c>
      <c r="E18" s="54">
        <v>11472</v>
      </c>
      <c r="F18" s="54">
        <v>8894</v>
      </c>
      <c r="G18" s="54">
        <v>1295</v>
      </c>
      <c r="H18" s="57">
        <v>0</v>
      </c>
    </row>
    <row r="19" spans="1:16" ht="15" thickBot="1" x14ac:dyDescent="0.35">
      <c r="A19" s="101" t="s">
        <v>85</v>
      </c>
      <c r="B19" s="102">
        <v>1</v>
      </c>
      <c r="C19" s="102">
        <v>8</v>
      </c>
      <c r="D19" s="102">
        <v>4</v>
      </c>
      <c r="E19" s="102">
        <v>38</v>
      </c>
      <c r="F19" s="102">
        <v>35</v>
      </c>
      <c r="G19" s="102">
        <v>4</v>
      </c>
      <c r="H19" s="104">
        <v>1</v>
      </c>
    </row>
    <row r="20" spans="1:16" ht="15" thickBot="1" x14ac:dyDescent="0.35"/>
    <row r="21" spans="1:16" ht="15" thickBot="1" x14ac:dyDescent="0.35">
      <c r="A21" s="186" t="s">
        <v>118</v>
      </c>
      <c r="B21" s="209"/>
      <c r="C21" s="209"/>
      <c r="D21" s="209"/>
      <c r="E21" s="209"/>
      <c r="F21" s="209"/>
      <c r="G21" s="209"/>
      <c r="H21" s="210"/>
      <c r="I21" s="28"/>
      <c r="J21" s="28"/>
      <c r="K21" s="28"/>
      <c r="L21" s="28"/>
      <c r="M21" s="28"/>
      <c r="N21" s="28"/>
      <c r="O21" s="28"/>
      <c r="P21" s="28"/>
    </row>
    <row r="22" spans="1:16" ht="15" thickBot="1" x14ac:dyDescent="0.35">
      <c r="A22" s="28"/>
      <c r="B22" s="28"/>
      <c r="C22" s="28"/>
      <c r="D22" s="28"/>
      <c r="E22" s="28"/>
      <c r="F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15" thickBot="1" x14ac:dyDescent="0.35">
      <c r="A23" s="48" t="s">
        <v>87</v>
      </c>
      <c r="B23" s="164">
        <f>+B4/B$16</f>
        <v>0.24005445868870681</v>
      </c>
      <c r="C23" s="164">
        <f t="shared" ref="C23:H23" si="3">+C4/C$16</f>
        <v>0.44205505762384756</v>
      </c>
      <c r="D23" s="164">
        <f t="shared" si="3"/>
        <v>0.17011530003735298</v>
      </c>
      <c r="E23" s="164">
        <f t="shared" si="3"/>
        <v>0.19093985780445002</v>
      </c>
      <c r="F23" s="164">
        <f t="shared" si="3"/>
        <v>0.22185647820382035</v>
      </c>
      <c r="G23" s="164">
        <f t="shared" si="3"/>
        <v>0.17026499715631271</v>
      </c>
      <c r="H23" s="164">
        <f t="shared" si="3"/>
        <v>9.3133025253335083E-2</v>
      </c>
      <c r="I23" s="28"/>
      <c r="J23" s="28"/>
      <c r="K23" s="28"/>
      <c r="L23" s="28"/>
      <c r="M23" s="28"/>
      <c r="N23" s="28"/>
      <c r="O23" s="28"/>
      <c r="P23" s="28"/>
    </row>
    <row r="24" spans="1:16" ht="15" thickBot="1" x14ac:dyDescent="0.35">
      <c r="A24" s="87" t="s">
        <v>89</v>
      </c>
      <c r="B24" s="164">
        <f t="shared" ref="B24:H30" si="4">+B5/B$16</f>
        <v>2.9379437963977781E-2</v>
      </c>
      <c r="C24" s="164">
        <f t="shared" si="4"/>
        <v>5.0459841598849468E-2</v>
      </c>
      <c r="D24" s="164">
        <f t="shared" si="4"/>
        <v>4.1252792388715043E-2</v>
      </c>
      <c r="E24" s="164">
        <f t="shared" si="4"/>
        <v>2.9268740439748125E-2</v>
      </c>
      <c r="F24" s="164">
        <f t="shared" si="4"/>
        <v>7.5975078474433419E-3</v>
      </c>
      <c r="G24" s="164">
        <f t="shared" si="4"/>
        <v>6.0421047789757841E-2</v>
      </c>
      <c r="H24" s="164">
        <f t="shared" si="4"/>
        <v>8.2015913079276637E-2</v>
      </c>
      <c r="I24" s="28"/>
      <c r="J24" s="28"/>
      <c r="K24" s="28"/>
      <c r="L24" s="28"/>
      <c r="M24" s="28"/>
      <c r="N24" s="28"/>
      <c r="O24" s="28"/>
      <c r="P24" s="28"/>
    </row>
    <row r="25" spans="1:16" ht="15" thickBot="1" x14ac:dyDescent="0.35">
      <c r="A25" s="87" t="s">
        <v>90</v>
      </c>
      <c r="B25" s="164">
        <f t="shared" si="4"/>
        <v>0</v>
      </c>
      <c r="C25" s="164">
        <f t="shared" si="4"/>
        <v>0</v>
      </c>
      <c r="D25" s="164">
        <f t="shared" si="4"/>
        <v>2.0894407374086342E-2</v>
      </c>
      <c r="E25" s="164">
        <f t="shared" si="4"/>
        <v>7.1467281650885409E-4</v>
      </c>
      <c r="F25" s="164">
        <f t="shared" si="4"/>
        <v>3.9300686812897094E-4</v>
      </c>
      <c r="G25" s="164">
        <f t="shared" si="4"/>
        <v>2.3956927361158824E-4</v>
      </c>
      <c r="H25" s="164">
        <f t="shared" si="4"/>
        <v>0</v>
      </c>
      <c r="I25" s="28"/>
      <c r="J25" s="28"/>
      <c r="K25" s="28"/>
      <c r="L25" s="28"/>
      <c r="M25" s="28"/>
      <c r="N25" s="28"/>
      <c r="O25" s="28"/>
      <c r="P25" s="28"/>
    </row>
    <row r="26" spans="1:16" ht="15" thickBot="1" x14ac:dyDescent="0.35">
      <c r="A26" s="87" t="s">
        <v>91</v>
      </c>
      <c r="B26" s="164">
        <f t="shared" si="4"/>
        <v>5.3867218912130255E-2</v>
      </c>
      <c r="C26" s="164">
        <f t="shared" si="4"/>
        <v>8.5941454272293494E-2</v>
      </c>
      <c r="D26" s="164">
        <f t="shared" si="4"/>
        <v>1.749339782655142E-3</v>
      </c>
      <c r="E26" s="164">
        <f t="shared" si="4"/>
        <v>0.20931658275541709</v>
      </c>
      <c r="F26" s="164">
        <f t="shared" si="4"/>
        <v>0.20779978413134975</v>
      </c>
      <c r="G26" s="164">
        <f t="shared" si="4"/>
        <v>0.17905239811238577</v>
      </c>
      <c r="H26" s="164">
        <f t="shared" si="4"/>
        <v>0.13968666210921607</v>
      </c>
      <c r="I26" s="28"/>
      <c r="J26" s="28"/>
      <c r="K26" s="28"/>
      <c r="L26" s="28"/>
      <c r="M26" s="28"/>
      <c r="N26" s="28"/>
      <c r="O26" s="28"/>
      <c r="P26" s="28"/>
    </row>
    <row r="27" spans="1:16" ht="15" thickBot="1" x14ac:dyDescent="0.35">
      <c r="A27" s="87" t="s">
        <v>92</v>
      </c>
      <c r="B27" s="164">
        <f t="shared" si="4"/>
        <v>0.40362768140735655</v>
      </c>
      <c r="C27" s="164">
        <f t="shared" si="4"/>
        <v>0.24403207230379628</v>
      </c>
      <c r="D27" s="164">
        <f t="shared" si="4"/>
        <v>0.30509439254917292</v>
      </c>
      <c r="E27" s="164">
        <f t="shared" si="4"/>
        <v>0.26728433420763692</v>
      </c>
      <c r="F27" s="164">
        <f t="shared" si="4"/>
        <v>0.2740868644387216</v>
      </c>
      <c r="G27" s="164">
        <f t="shared" si="4"/>
        <v>0.28641656592778714</v>
      </c>
      <c r="H27" s="164">
        <f t="shared" si="4"/>
        <v>0.3966424110035307</v>
      </c>
      <c r="I27" s="28"/>
      <c r="J27" s="28"/>
      <c r="K27" s="28"/>
      <c r="L27" s="28"/>
      <c r="M27" s="28"/>
      <c r="N27" s="28"/>
      <c r="O27" s="28"/>
      <c r="P27" s="28"/>
    </row>
    <row r="28" spans="1:16" ht="15" thickBot="1" x14ac:dyDescent="0.35">
      <c r="A28" s="87" t="s">
        <v>126</v>
      </c>
      <c r="B28" s="164">
        <f t="shared" si="4"/>
        <v>2.5448725312733834E-2</v>
      </c>
      <c r="C28" s="164">
        <f t="shared" si="4"/>
        <v>4.3221054357130122E-3</v>
      </c>
      <c r="D28" s="164">
        <f t="shared" si="4"/>
        <v>2.9166709058167439E-2</v>
      </c>
      <c r="E28" s="164">
        <f t="shared" si="4"/>
        <v>1.1027867840954947E-2</v>
      </c>
      <c r="F28" s="164">
        <f t="shared" si="4"/>
        <v>1.7810843161825012E-2</v>
      </c>
      <c r="G28" s="164">
        <f t="shared" si="4"/>
        <v>4.9221902956236921E-2</v>
      </c>
      <c r="H28" s="164">
        <f t="shared" si="4"/>
        <v>7.0250205411463281E-3</v>
      </c>
      <c r="I28" s="28"/>
      <c r="J28" s="28"/>
      <c r="K28" s="28"/>
      <c r="L28" s="28"/>
      <c r="M28" s="28"/>
      <c r="N28" s="28"/>
      <c r="O28" s="28"/>
      <c r="P28" s="28"/>
    </row>
    <row r="29" spans="1:16" ht="15" thickBot="1" x14ac:dyDescent="0.35">
      <c r="A29" s="87" t="s">
        <v>94</v>
      </c>
      <c r="B29" s="164">
        <f t="shared" si="4"/>
        <v>0</v>
      </c>
      <c r="C29" s="164">
        <f t="shared" si="4"/>
        <v>0</v>
      </c>
      <c r="D29" s="164">
        <f t="shared" si="4"/>
        <v>0.42827488877681386</v>
      </c>
      <c r="E29" s="164">
        <f t="shared" si="4"/>
        <v>3.7197737680765008E-3</v>
      </c>
      <c r="F29" s="164">
        <f t="shared" si="4"/>
        <v>1.4972694576481785E-3</v>
      </c>
      <c r="G29" s="164">
        <f t="shared" si="4"/>
        <v>0</v>
      </c>
      <c r="H29" s="164">
        <f t="shared" si="4"/>
        <v>0</v>
      </c>
      <c r="I29" s="28"/>
      <c r="J29" s="28"/>
      <c r="K29" s="28"/>
      <c r="L29" s="28"/>
      <c r="M29" s="28"/>
      <c r="N29" s="28"/>
      <c r="O29" s="28"/>
      <c r="P29" s="28"/>
    </row>
    <row r="30" spans="1:16" ht="15" thickBot="1" x14ac:dyDescent="0.35">
      <c r="A30" s="87" t="s">
        <v>95</v>
      </c>
      <c r="B30" s="164">
        <f t="shared" si="4"/>
        <v>0.75237752228490529</v>
      </c>
      <c r="C30" s="164">
        <f t="shared" si="4"/>
        <v>0.82681053123449977</v>
      </c>
      <c r="D30" s="164">
        <f t="shared" si="4"/>
        <v>0.99654782996696367</v>
      </c>
      <c r="E30" s="164">
        <f t="shared" si="4"/>
        <v>0.71227182963279245</v>
      </c>
      <c r="F30" s="164">
        <f t="shared" si="4"/>
        <v>0.73104175410893724</v>
      </c>
      <c r="G30" s="164">
        <f t="shared" si="4"/>
        <v>0.74561648121609192</v>
      </c>
      <c r="H30" s="164">
        <f t="shared" si="4"/>
        <v>0.71850303198650478</v>
      </c>
      <c r="I30" s="28"/>
      <c r="J30" s="28"/>
      <c r="K30" s="28"/>
      <c r="L30" s="28"/>
      <c r="M30" s="28"/>
      <c r="N30" s="28"/>
      <c r="O30" s="28"/>
      <c r="P30" s="28"/>
    </row>
    <row r="31" spans="1:16" ht="15" thickBot="1" x14ac:dyDescent="0.35">
      <c r="A31" s="145" t="s">
        <v>107</v>
      </c>
      <c r="B31" s="146">
        <f>+B11/B$16</f>
        <v>0.75237752228490529</v>
      </c>
      <c r="C31" s="146">
        <f t="shared" ref="C31:H31" si="5">+C11/C$16</f>
        <v>0.82681053123449977</v>
      </c>
      <c r="D31" s="146">
        <f t="shared" si="5"/>
        <v>0.99654782996696367</v>
      </c>
      <c r="E31" s="146">
        <f t="shared" si="5"/>
        <v>0.71227182963279245</v>
      </c>
      <c r="F31" s="146">
        <f t="shared" si="5"/>
        <v>0.73104175410893724</v>
      </c>
      <c r="G31" s="146">
        <f t="shared" si="5"/>
        <v>0.74561648121609192</v>
      </c>
      <c r="H31" s="146">
        <f t="shared" si="5"/>
        <v>0.71850303198650478</v>
      </c>
      <c r="I31" s="28"/>
      <c r="J31" s="28"/>
      <c r="K31" s="28"/>
      <c r="L31" s="28"/>
      <c r="M31" s="28"/>
      <c r="N31" s="28"/>
      <c r="O31" s="28"/>
      <c r="P31" s="28"/>
    </row>
    <row r="32" spans="1:16" ht="15" thickBot="1" x14ac:dyDescent="0.35">
      <c r="A32" s="87" t="s">
        <v>96</v>
      </c>
      <c r="B32" s="164">
        <f t="shared" ref="B32:H34" si="6">+B13/B$16</f>
        <v>0</v>
      </c>
      <c r="C32" s="164">
        <f t="shared" si="6"/>
        <v>0</v>
      </c>
      <c r="D32" s="164">
        <f t="shared" si="6"/>
        <v>0</v>
      </c>
      <c r="E32" s="164">
        <f t="shared" si="6"/>
        <v>1.8588971340359043E-3</v>
      </c>
      <c r="F32" s="164">
        <f t="shared" si="6"/>
        <v>3.9476137702544808E-2</v>
      </c>
      <c r="G32" s="164">
        <f t="shared" si="6"/>
        <v>7.1870782083476477E-3</v>
      </c>
      <c r="H32" s="164">
        <f t="shared" si="6"/>
        <v>0</v>
      </c>
      <c r="I32" s="28"/>
      <c r="J32" s="28"/>
      <c r="K32" s="28"/>
      <c r="L32" s="28"/>
      <c r="M32" s="28"/>
      <c r="N32" s="28"/>
      <c r="O32" s="28"/>
      <c r="P32" s="28"/>
    </row>
    <row r="33" spans="1:16" ht="15" thickBot="1" x14ac:dyDescent="0.35">
      <c r="A33" s="87" t="s">
        <v>97</v>
      </c>
      <c r="B33" s="164">
        <f t="shared" si="6"/>
        <v>7.3801769131175889E-3</v>
      </c>
      <c r="C33" s="164">
        <f t="shared" si="6"/>
        <v>1.1899520977209872E-2</v>
      </c>
      <c r="D33" s="164">
        <f t="shared" si="6"/>
        <v>0</v>
      </c>
      <c r="E33" s="164">
        <f t="shared" si="6"/>
        <v>3.3447318320023275E-2</v>
      </c>
      <c r="F33" s="164">
        <f t="shared" si="6"/>
        <v>2.7652419445114297E-2</v>
      </c>
      <c r="G33" s="164">
        <f t="shared" si="6"/>
        <v>2.0202876843665236E-2</v>
      </c>
      <c r="H33" s="164">
        <f t="shared" si="6"/>
        <v>1.9341124490849102E-2</v>
      </c>
      <c r="I33" s="28"/>
      <c r="J33" s="28"/>
      <c r="K33" s="28"/>
      <c r="L33" s="28"/>
      <c r="M33" s="28"/>
      <c r="N33" s="28"/>
      <c r="O33" s="28"/>
      <c r="P33" s="28"/>
    </row>
    <row r="34" spans="1:16" ht="15" thickBot="1" x14ac:dyDescent="0.35">
      <c r="A34" s="87" t="s">
        <v>98</v>
      </c>
      <c r="B34" s="164">
        <f t="shared" si="6"/>
        <v>0.24762247771509474</v>
      </c>
      <c r="C34" s="164">
        <f t="shared" si="6"/>
        <v>0.17318946876550023</v>
      </c>
      <c r="D34" s="164">
        <f t="shared" si="6"/>
        <v>3.4521700330363021E-3</v>
      </c>
      <c r="E34" s="164">
        <f t="shared" si="6"/>
        <v>0.28772817036720749</v>
      </c>
      <c r="F34" s="164">
        <f t="shared" si="6"/>
        <v>0.26895824589106282</v>
      </c>
      <c r="G34" s="164">
        <f t="shared" si="6"/>
        <v>0.25438351878390802</v>
      </c>
      <c r="H34" s="164">
        <f t="shared" si="6"/>
        <v>0.28149696801349516</v>
      </c>
      <c r="I34" s="28"/>
      <c r="J34" s="28"/>
      <c r="K34" s="28"/>
      <c r="L34" s="28"/>
      <c r="M34" s="28"/>
      <c r="N34" s="28"/>
      <c r="O34" s="28"/>
      <c r="P34" s="28"/>
    </row>
    <row r="35" spans="1:16" ht="15" thickBot="1" x14ac:dyDescent="0.35">
      <c r="A35" s="147" t="s">
        <v>111</v>
      </c>
      <c r="B35" s="148">
        <f>+B15/B$16</f>
        <v>0.24762247771509474</v>
      </c>
      <c r="C35" s="148">
        <f t="shared" ref="C35:H36" si="7">+C15/C$16</f>
        <v>0.17318946876550023</v>
      </c>
      <c r="D35" s="148">
        <f t="shared" si="7"/>
        <v>3.4521700330363021E-3</v>
      </c>
      <c r="E35" s="148">
        <f t="shared" si="7"/>
        <v>0.28772817036720749</v>
      </c>
      <c r="F35" s="148">
        <f t="shared" si="7"/>
        <v>0.26895824589106282</v>
      </c>
      <c r="G35" s="148">
        <f t="shared" si="7"/>
        <v>0.25438351878390802</v>
      </c>
      <c r="H35" s="148">
        <f t="shared" si="7"/>
        <v>0.28149696801349516</v>
      </c>
      <c r="I35" s="28"/>
      <c r="J35" s="28"/>
      <c r="K35" s="28"/>
      <c r="L35" s="28"/>
      <c r="M35" s="28"/>
      <c r="N35" s="28"/>
      <c r="O35" s="28"/>
      <c r="P35" s="28"/>
    </row>
    <row r="36" spans="1:16" ht="15" thickBot="1" x14ac:dyDescent="0.35">
      <c r="A36" s="149" t="s">
        <v>86</v>
      </c>
      <c r="B36" s="169">
        <f>+B16/B$16</f>
        <v>1</v>
      </c>
      <c r="C36" s="169">
        <f t="shared" si="7"/>
        <v>1</v>
      </c>
      <c r="D36" s="169">
        <f t="shared" si="7"/>
        <v>1</v>
      </c>
      <c r="E36" s="169">
        <f t="shared" si="7"/>
        <v>1</v>
      </c>
      <c r="F36" s="169">
        <f t="shared" si="7"/>
        <v>1</v>
      </c>
      <c r="G36" s="169">
        <f t="shared" si="7"/>
        <v>1</v>
      </c>
      <c r="H36" s="169">
        <f t="shared" si="7"/>
        <v>1</v>
      </c>
      <c r="I36" s="28"/>
      <c r="J36" s="28"/>
      <c r="K36" s="28"/>
      <c r="L36" s="28"/>
      <c r="M36" s="28"/>
      <c r="N36" s="28"/>
      <c r="O36" s="28"/>
      <c r="P36" s="28"/>
    </row>
    <row r="38" spans="1:16" x14ac:dyDescent="0.3">
      <c r="A38" s="28" t="s">
        <v>503</v>
      </c>
    </row>
    <row r="39" spans="1:16" x14ac:dyDescent="0.3">
      <c r="A39" s="28" t="s">
        <v>122</v>
      </c>
    </row>
    <row r="40" spans="1:16" x14ac:dyDescent="0.3">
      <c r="A40" s="28" t="s">
        <v>123</v>
      </c>
    </row>
    <row r="41" spans="1:16" x14ac:dyDescent="0.3">
      <c r="A41" s="95">
        <v>41008</v>
      </c>
    </row>
  </sheetData>
  <sortState ref="A4:P37">
    <sortCondition ref="B4:B37"/>
  </sortState>
  <mergeCells count="2">
    <mergeCell ref="A1:H1"/>
    <mergeCell ref="A21:H21"/>
  </mergeCells>
  <hyperlinks>
    <hyperlink ref="A1:H1" location="CONTENIDO!A1" display="TRABAJOS AEREOS ESPECIALES - AVIACION AGRICOLA - COSTOS DE OPERACIÓN  II SEMESTRE 20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workbookViewId="0">
      <selection sqref="A1:C1"/>
    </sheetView>
  </sheetViews>
  <sheetFormatPr baseColWidth="10" defaultRowHeight="13.8" x14ac:dyDescent="0.25"/>
  <cols>
    <col min="2" max="2" width="4.81640625" style="1" customWidth="1"/>
    <col min="3" max="3" width="61.7265625" style="1" customWidth="1"/>
    <col min="7" max="7" width="60.1796875" customWidth="1"/>
  </cols>
  <sheetData>
    <row r="1" spans="1:7" ht="24.6" customHeight="1" thickBot="1" x14ac:dyDescent="0.3">
      <c r="A1" s="177" t="s">
        <v>169</v>
      </c>
      <c r="B1" s="178"/>
      <c r="C1" s="179"/>
      <c r="E1" s="180" t="s">
        <v>394</v>
      </c>
      <c r="F1" s="181"/>
      <c r="G1" s="182"/>
    </row>
    <row r="2" spans="1:7" ht="14.4" thickBot="1" x14ac:dyDescent="0.3">
      <c r="F2" s="1"/>
      <c r="G2" s="1"/>
    </row>
    <row r="3" spans="1:7" ht="36" customHeight="1" thickBot="1" x14ac:dyDescent="0.3">
      <c r="A3" s="11" t="s">
        <v>0</v>
      </c>
      <c r="B3" s="11" t="s">
        <v>170</v>
      </c>
      <c r="C3" s="11" t="s">
        <v>505</v>
      </c>
      <c r="E3" s="24" t="s">
        <v>0</v>
      </c>
      <c r="F3" s="24" t="s">
        <v>170</v>
      </c>
      <c r="G3" s="24" t="s">
        <v>171</v>
      </c>
    </row>
    <row r="4" spans="1:7" ht="14.4" thickBot="1" x14ac:dyDescent="0.3">
      <c r="A4" s="12" t="s">
        <v>30</v>
      </c>
      <c r="B4" s="13" t="s">
        <v>301</v>
      </c>
      <c r="C4" s="12" t="s">
        <v>302</v>
      </c>
      <c r="E4" s="19" t="s">
        <v>29</v>
      </c>
      <c r="F4" s="18" t="s">
        <v>301</v>
      </c>
      <c r="G4" s="19" t="s">
        <v>302</v>
      </c>
    </row>
    <row r="5" spans="1:7" ht="14.4" thickBot="1" x14ac:dyDescent="0.3">
      <c r="A5" s="14" t="s">
        <v>46</v>
      </c>
      <c r="B5" s="6" t="s">
        <v>172</v>
      </c>
      <c r="C5" s="14" t="s">
        <v>173</v>
      </c>
      <c r="E5" s="12" t="s">
        <v>46</v>
      </c>
      <c r="F5" s="13" t="s">
        <v>395</v>
      </c>
      <c r="G5" s="12" t="s">
        <v>396</v>
      </c>
    </row>
    <row r="6" spans="1:7" ht="14.4" thickBot="1" x14ac:dyDescent="0.3">
      <c r="A6" s="2" t="s">
        <v>46</v>
      </c>
      <c r="B6" s="3" t="s">
        <v>174</v>
      </c>
      <c r="C6" s="2" t="s">
        <v>175</v>
      </c>
      <c r="E6" s="19" t="s">
        <v>16</v>
      </c>
      <c r="F6" s="18" t="s">
        <v>388</v>
      </c>
      <c r="G6" s="19" t="s">
        <v>389</v>
      </c>
    </row>
    <row r="7" spans="1:7" x14ac:dyDescent="0.25">
      <c r="A7" s="2" t="s">
        <v>46</v>
      </c>
      <c r="B7" s="3" t="s">
        <v>176</v>
      </c>
      <c r="C7" s="2" t="s">
        <v>177</v>
      </c>
      <c r="E7" s="14" t="s">
        <v>17</v>
      </c>
      <c r="F7" s="6" t="s">
        <v>388</v>
      </c>
      <c r="G7" s="14" t="s">
        <v>389</v>
      </c>
    </row>
    <row r="8" spans="1:7" ht="14.4" thickBot="1" x14ac:dyDescent="0.3">
      <c r="A8" s="5" t="s">
        <v>46</v>
      </c>
      <c r="B8" s="4" t="s">
        <v>303</v>
      </c>
      <c r="C8" s="5" t="s">
        <v>304</v>
      </c>
      <c r="E8" s="2" t="s">
        <v>17</v>
      </c>
      <c r="F8" s="3" t="s">
        <v>257</v>
      </c>
      <c r="G8" s="2" t="s">
        <v>258</v>
      </c>
    </row>
    <row r="9" spans="1:7" ht="14.4" thickBot="1" x14ac:dyDescent="0.3">
      <c r="A9" s="12" t="s">
        <v>16</v>
      </c>
      <c r="B9" s="13" t="s">
        <v>388</v>
      </c>
      <c r="C9" s="12" t="s">
        <v>389</v>
      </c>
      <c r="E9" s="2" t="s">
        <v>17</v>
      </c>
      <c r="F9" s="3" t="s">
        <v>289</v>
      </c>
      <c r="G9" s="2" t="s">
        <v>462</v>
      </c>
    </row>
    <row r="10" spans="1:7" x14ac:dyDescent="0.25">
      <c r="A10" s="14" t="s">
        <v>17</v>
      </c>
      <c r="B10" s="6" t="s">
        <v>257</v>
      </c>
      <c r="C10" s="14" t="s">
        <v>258</v>
      </c>
      <c r="E10" s="2" t="s">
        <v>17</v>
      </c>
      <c r="F10" s="3" t="s">
        <v>259</v>
      </c>
      <c r="G10" s="2" t="s">
        <v>260</v>
      </c>
    </row>
    <row r="11" spans="1:7" x14ac:dyDescent="0.25">
      <c r="A11" s="2" t="s">
        <v>17</v>
      </c>
      <c r="B11" s="3" t="s">
        <v>259</v>
      </c>
      <c r="C11" s="2" t="s">
        <v>260</v>
      </c>
      <c r="E11" s="2" t="s">
        <v>17</v>
      </c>
      <c r="F11" s="3" t="s">
        <v>261</v>
      </c>
      <c r="G11" s="2" t="s">
        <v>262</v>
      </c>
    </row>
    <row r="12" spans="1:7" x14ac:dyDescent="0.25">
      <c r="A12" s="2" t="s">
        <v>17</v>
      </c>
      <c r="B12" s="3" t="s">
        <v>261</v>
      </c>
      <c r="C12" s="2" t="s">
        <v>262</v>
      </c>
      <c r="E12" s="2" t="s">
        <v>17</v>
      </c>
      <c r="F12" s="3" t="s">
        <v>263</v>
      </c>
      <c r="G12" s="2" t="s">
        <v>264</v>
      </c>
    </row>
    <row r="13" spans="1:7" x14ac:dyDescent="0.25">
      <c r="A13" s="2" t="s">
        <v>17</v>
      </c>
      <c r="B13" s="3" t="s">
        <v>263</v>
      </c>
      <c r="C13" s="2" t="s">
        <v>264</v>
      </c>
      <c r="E13" s="2" t="s">
        <v>17</v>
      </c>
      <c r="F13" s="3" t="s">
        <v>265</v>
      </c>
      <c r="G13" s="2" t="s">
        <v>266</v>
      </c>
    </row>
    <row r="14" spans="1:7" ht="14.4" thickBot="1" x14ac:dyDescent="0.3">
      <c r="A14" s="2" t="s">
        <v>17</v>
      </c>
      <c r="B14" s="3" t="s">
        <v>265</v>
      </c>
      <c r="C14" s="2" t="s">
        <v>266</v>
      </c>
      <c r="E14" s="5" t="s">
        <v>17</v>
      </c>
      <c r="F14" s="4" t="s">
        <v>267</v>
      </c>
      <c r="G14" s="5" t="s">
        <v>268</v>
      </c>
    </row>
    <row r="15" spans="1:7" x14ac:dyDescent="0.25">
      <c r="A15" s="2" t="s">
        <v>17</v>
      </c>
      <c r="B15" s="3" t="s">
        <v>267</v>
      </c>
      <c r="C15" s="2" t="s">
        <v>268</v>
      </c>
      <c r="E15" s="14" t="s">
        <v>3</v>
      </c>
      <c r="F15" s="6" t="s">
        <v>388</v>
      </c>
      <c r="G15" s="14" t="s">
        <v>389</v>
      </c>
    </row>
    <row r="16" spans="1:7" ht="14.4" thickBot="1" x14ac:dyDescent="0.3">
      <c r="A16" s="5" t="s">
        <v>17</v>
      </c>
      <c r="B16" s="4" t="s">
        <v>388</v>
      </c>
      <c r="C16" s="5" t="s">
        <v>389</v>
      </c>
      <c r="E16" s="2" t="s">
        <v>3</v>
      </c>
      <c r="F16" s="3" t="s">
        <v>257</v>
      </c>
      <c r="G16" s="2" t="s">
        <v>258</v>
      </c>
    </row>
    <row r="17" spans="1:7" x14ac:dyDescent="0.25">
      <c r="A17" s="14" t="s">
        <v>3</v>
      </c>
      <c r="B17" s="6" t="s">
        <v>269</v>
      </c>
      <c r="C17" s="14" t="s">
        <v>270</v>
      </c>
      <c r="E17" s="2" t="s">
        <v>3</v>
      </c>
      <c r="F17" s="3" t="s">
        <v>271</v>
      </c>
      <c r="G17" s="2" t="s">
        <v>272</v>
      </c>
    </row>
    <row r="18" spans="1:7" x14ac:dyDescent="0.25">
      <c r="A18" s="2" t="s">
        <v>3</v>
      </c>
      <c r="B18" s="3" t="s">
        <v>257</v>
      </c>
      <c r="C18" s="2" t="s">
        <v>258</v>
      </c>
      <c r="E18" s="2" t="s">
        <v>3</v>
      </c>
      <c r="F18" s="3" t="s">
        <v>261</v>
      </c>
      <c r="G18" s="2" t="s">
        <v>262</v>
      </c>
    </row>
    <row r="19" spans="1:7" x14ac:dyDescent="0.25">
      <c r="A19" s="2" t="s">
        <v>3</v>
      </c>
      <c r="B19" s="3" t="s">
        <v>271</v>
      </c>
      <c r="C19" s="2" t="s">
        <v>272</v>
      </c>
      <c r="E19" s="2" t="s">
        <v>3</v>
      </c>
      <c r="F19" s="3" t="s">
        <v>265</v>
      </c>
      <c r="G19" s="2" t="s">
        <v>266</v>
      </c>
    </row>
    <row r="20" spans="1:7" x14ac:dyDescent="0.25">
      <c r="A20" s="2" t="s">
        <v>3</v>
      </c>
      <c r="B20" s="3" t="s">
        <v>261</v>
      </c>
      <c r="C20" s="2" t="s">
        <v>262</v>
      </c>
      <c r="E20" s="2" t="s">
        <v>3</v>
      </c>
      <c r="F20" s="3" t="s">
        <v>397</v>
      </c>
      <c r="G20" s="2" t="s">
        <v>398</v>
      </c>
    </row>
    <row r="21" spans="1:7" x14ac:dyDescent="0.25">
      <c r="A21" s="2" t="s">
        <v>3</v>
      </c>
      <c r="B21" s="3" t="s">
        <v>265</v>
      </c>
      <c r="C21" s="2" t="s">
        <v>266</v>
      </c>
      <c r="E21" s="2" t="s">
        <v>3</v>
      </c>
      <c r="F21" s="3" t="s">
        <v>293</v>
      </c>
      <c r="G21" s="2" t="s">
        <v>294</v>
      </c>
    </row>
    <row r="22" spans="1:7" ht="14.4" thickBot="1" x14ac:dyDescent="0.3">
      <c r="A22" s="2" t="s">
        <v>3</v>
      </c>
      <c r="B22" s="3" t="s">
        <v>267</v>
      </c>
      <c r="C22" s="2" t="s">
        <v>268</v>
      </c>
      <c r="E22" s="5" t="s">
        <v>3</v>
      </c>
      <c r="F22" s="4" t="s">
        <v>267</v>
      </c>
      <c r="G22" s="5" t="s">
        <v>268</v>
      </c>
    </row>
    <row r="23" spans="1:7" x14ac:dyDescent="0.25">
      <c r="A23" s="2" t="s">
        <v>3</v>
      </c>
      <c r="B23" s="3" t="s">
        <v>293</v>
      </c>
      <c r="C23" s="2" t="s">
        <v>294</v>
      </c>
      <c r="E23" s="14" t="s">
        <v>273</v>
      </c>
      <c r="F23" s="6" t="s">
        <v>261</v>
      </c>
      <c r="G23" s="14" t="s">
        <v>262</v>
      </c>
    </row>
    <row r="24" spans="1:7" ht="14.4" thickBot="1" x14ac:dyDescent="0.3">
      <c r="A24" s="5" t="s">
        <v>3</v>
      </c>
      <c r="B24" s="4" t="s">
        <v>388</v>
      </c>
      <c r="C24" s="5" t="s">
        <v>389</v>
      </c>
      <c r="E24" s="5" t="s">
        <v>273</v>
      </c>
      <c r="F24" s="4" t="s">
        <v>267</v>
      </c>
      <c r="G24" s="5" t="s">
        <v>268</v>
      </c>
    </row>
    <row r="25" spans="1:7" ht="14.4" thickBot="1" x14ac:dyDescent="0.3">
      <c r="A25" s="12" t="s">
        <v>273</v>
      </c>
      <c r="B25" s="13" t="s">
        <v>267</v>
      </c>
      <c r="C25" s="12" t="s">
        <v>268</v>
      </c>
      <c r="E25" s="12" t="s">
        <v>18</v>
      </c>
      <c r="F25" s="13" t="s">
        <v>388</v>
      </c>
      <c r="G25" s="12" t="s">
        <v>389</v>
      </c>
    </row>
    <row r="26" spans="1:7" ht="14.4" thickBot="1" x14ac:dyDescent="0.3">
      <c r="A26" s="12" t="s">
        <v>18</v>
      </c>
      <c r="B26" s="13" t="s">
        <v>388</v>
      </c>
      <c r="C26" s="12" t="s">
        <v>389</v>
      </c>
      <c r="E26" s="14" t="s">
        <v>274</v>
      </c>
      <c r="F26" s="6" t="s">
        <v>399</v>
      </c>
      <c r="G26" s="14" t="s">
        <v>400</v>
      </c>
    </row>
    <row r="27" spans="1:7" ht="14.4" thickBot="1" x14ac:dyDescent="0.3">
      <c r="A27" s="12" t="s">
        <v>274</v>
      </c>
      <c r="B27" s="13" t="s">
        <v>275</v>
      </c>
      <c r="C27" s="12" t="s">
        <v>276</v>
      </c>
      <c r="E27" s="5" t="s">
        <v>274</v>
      </c>
      <c r="F27" s="4" t="s">
        <v>275</v>
      </c>
      <c r="G27" s="5" t="s">
        <v>276</v>
      </c>
    </row>
    <row r="28" spans="1:7" ht="14.4" thickBot="1" x14ac:dyDescent="0.3">
      <c r="A28" s="12" t="s">
        <v>277</v>
      </c>
      <c r="B28" s="13" t="s">
        <v>278</v>
      </c>
      <c r="C28" s="12" t="s">
        <v>449</v>
      </c>
      <c r="E28" s="14" t="s">
        <v>277</v>
      </c>
      <c r="F28" s="6" t="s">
        <v>401</v>
      </c>
      <c r="G28" s="14" t="s">
        <v>402</v>
      </c>
    </row>
    <row r="29" spans="1:7" ht="14.4" thickBot="1" x14ac:dyDescent="0.3">
      <c r="A29" s="14" t="s">
        <v>47</v>
      </c>
      <c r="B29" s="6" t="s">
        <v>178</v>
      </c>
      <c r="C29" s="14" t="s">
        <v>179</v>
      </c>
      <c r="E29" s="5" t="s">
        <v>277</v>
      </c>
      <c r="F29" s="4" t="s">
        <v>278</v>
      </c>
      <c r="G29" s="5" t="s">
        <v>449</v>
      </c>
    </row>
    <row r="30" spans="1:7" ht="14.4" thickBot="1" x14ac:dyDescent="0.3">
      <c r="A30" s="5" t="s">
        <v>47</v>
      </c>
      <c r="B30" s="4" t="s">
        <v>305</v>
      </c>
      <c r="C30" s="5" t="s">
        <v>450</v>
      </c>
      <c r="E30" s="14" t="s">
        <v>47</v>
      </c>
      <c r="F30" s="6" t="s">
        <v>365</v>
      </c>
      <c r="G30" s="14" t="s">
        <v>366</v>
      </c>
    </row>
    <row r="31" spans="1:7" ht="14.4" thickBot="1" x14ac:dyDescent="0.3">
      <c r="A31" s="14" t="s">
        <v>38</v>
      </c>
      <c r="B31" s="6" t="s">
        <v>218</v>
      </c>
      <c r="C31" s="14" t="s">
        <v>451</v>
      </c>
      <c r="E31" s="5" t="s">
        <v>47</v>
      </c>
      <c r="F31" s="4" t="s">
        <v>305</v>
      </c>
      <c r="G31" s="5" t="s">
        <v>463</v>
      </c>
    </row>
    <row r="32" spans="1:7" ht="14.4" thickBot="1" x14ac:dyDescent="0.3">
      <c r="A32" s="5" t="s">
        <v>38</v>
      </c>
      <c r="B32" s="4" t="s">
        <v>219</v>
      </c>
      <c r="C32" s="5" t="s">
        <v>220</v>
      </c>
      <c r="E32" s="14" t="s">
        <v>38</v>
      </c>
      <c r="F32" s="6" t="s">
        <v>218</v>
      </c>
      <c r="G32" s="14" t="s">
        <v>452</v>
      </c>
    </row>
    <row r="33" spans="1:7" ht="14.4" thickBot="1" x14ac:dyDescent="0.3">
      <c r="A33" s="14" t="s">
        <v>39</v>
      </c>
      <c r="B33" s="6" t="s">
        <v>218</v>
      </c>
      <c r="C33" s="14" t="s">
        <v>452</v>
      </c>
      <c r="E33" s="5" t="s">
        <v>38</v>
      </c>
      <c r="F33" s="4" t="s">
        <v>219</v>
      </c>
      <c r="G33" s="5" t="s">
        <v>220</v>
      </c>
    </row>
    <row r="34" spans="1:7" ht="14.4" thickBot="1" x14ac:dyDescent="0.3">
      <c r="A34" s="5" t="s">
        <v>39</v>
      </c>
      <c r="B34" s="4" t="s">
        <v>247</v>
      </c>
      <c r="C34" s="5" t="s">
        <v>248</v>
      </c>
      <c r="E34" s="14" t="s">
        <v>39</v>
      </c>
      <c r="F34" s="6" t="s">
        <v>247</v>
      </c>
      <c r="G34" s="14" t="s">
        <v>248</v>
      </c>
    </row>
    <row r="35" spans="1:7" ht="14.4" thickBot="1" x14ac:dyDescent="0.3">
      <c r="A35" s="14" t="s">
        <v>66</v>
      </c>
      <c r="B35" s="6" t="s">
        <v>249</v>
      </c>
      <c r="C35" s="14" t="s">
        <v>250</v>
      </c>
      <c r="E35" s="5" t="s">
        <v>79</v>
      </c>
      <c r="F35" s="4" t="s">
        <v>306</v>
      </c>
      <c r="G35" s="5" t="s">
        <v>453</v>
      </c>
    </row>
    <row r="36" spans="1:7" ht="14.4" thickBot="1" x14ac:dyDescent="0.3">
      <c r="A36" s="5" t="s">
        <v>66</v>
      </c>
      <c r="B36" s="4" t="s">
        <v>306</v>
      </c>
      <c r="C36" s="5" t="s">
        <v>453</v>
      </c>
      <c r="E36" s="13" t="s">
        <v>66</v>
      </c>
      <c r="F36" s="13" t="s">
        <v>249</v>
      </c>
      <c r="G36" s="23" t="s">
        <v>250</v>
      </c>
    </row>
    <row r="37" spans="1:7" ht="14.4" thickBot="1" x14ac:dyDescent="0.3">
      <c r="A37" s="14" t="s">
        <v>63</v>
      </c>
      <c r="B37" s="6" t="s">
        <v>249</v>
      </c>
      <c r="C37" s="14" t="s">
        <v>250</v>
      </c>
      <c r="E37" s="13" t="s">
        <v>50</v>
      </c>
      <c r="F37" s="13" t="s">
        <v>403</v>
      </c>
      <c r="G37" s="23" t="s">
        <v>467</v>
      </c>
    </row>
    <row r="38" spans="1:7" ht="14.4" thickBot="1" x14ac:dyDescent="0.3">
      <c r="A38" s="2" t="s">
        <v>63</v>
      </c>
      <c r="B38" s="3" t="s">
        <v>307</v>
      </c>
      <c r="C38" s="2" t="s">
        <v>454</v>
      </c>
      <c r="E38" s="13" t="s">
        <v>49</v>
      </c>
      <c r="F38" s="13" t="s">
        <v>404</v>
      </c>
      <c r="G38" s="23" t="s">
        <v>405</v>
      </c>
    </row>
    <row r="39" spans="1:7" x14ac:dyDescent="0.25">
      <c r="A39" s="2" t="s">
        <v>63</v>
      </c>
      <c r="B39" s="3" t="s">
        <v>308</v>
      </c>
      <c r="C39" s="2" t="s">
        <v>309</v>
      </c>
      <c r="E39" s="14" t="s">
        <v>63</v>
      </c>
      <c r="F39" s="6" t="s">
        <v>307</v>
      </c>
      <c r="G39" s="14" t="s">
        <v>459</v>
      </c>
    </row>
    <row r="40" spans="1:7" x14ac:dyDescent="0.25">
      <c r="A40" s="2" t="s">
        <v>63</v>
      </c>
      <c r="B40" s="3" t="s">
        <v>310</v>
      </c>
      <c r="C40" s="2" t="s">
        <v>311</v>
      </c>
      <c r="E40" s="2" t="s">
        <v>63</v>
      </c>
      <c r="F40" s="3" t="s">
        <v>249</v>
      </c>
      <c r="G40" s="2" t="s">
        <v>250</v>
      </c>
    </row>
    <row r="41" spans="1:7" x14ac:dyDescent="0.25">
      <c r="A41" s="2" t="s">
        <v>63</v>
      </c>
      <c r="B41" s="3" t="s">
        <v>312</v>
      </c>
      <c r="C41" s="2" t="s">
        <v>313</v>
      </c>
      <c r="E41" s="2" t="s">
        <v>63</v>
      </c>
      <c r="F41" s="3" t="s">
        <v>308</v>
      </c>
      <c r="G41" s="2" t="s">
        <v>309</v>
      </c>
    </row>
    <row r="42" spans="1:7" x14ac:dyDescent="0.25">
      <c r="A42" s="2" t="s">
        <v>63</v>
      </c>
      <c r="B42" s="3" t="s">
        <v>314</v>
      </c>
      <c r="C42" s="2" t="s">
        <v>315</v>
      </c>
      <c r="E42" s="2" t="s">
        <v>63</v>
      </c>
      <c r="F42" s="3" t="s">
        <v>310</v>
      </c>
      <c r="G42" s="2" t="s">
        <v>311</v>
      </c>
    </row>
    <row r="43" spans="1:7" x14ac:dyDescent="0.25">
      <c r="A43" s="2" t="s">
        <v>63</v>
      </c>
      <c r="B43" s="3" t="s">
        <v>316</v>
      </c>
      <c r="C43" s="2" t="s">
        <v>317</v>
      </c>
      <c r="E43" s="2" t="s">
        <v>63</v>
      </c>
      <c r="F43" s="3" t="s">
        <v>314</v>
      </c>
      <c r="G43" s="2" t="s">
        <v>315</v>
      </c>
    </row>
    <row r="44" spans="1:7" x14ac:dyDescent="0.25">
      <c r="A44" s="2" t="s">
        <v>63</v>
      </c>
      <c r="B44" s="3" t="s">
        <v>318</v>
      </c>
      <c r="C44" s="2" t="s">
        <v>319</v>
      </c>
      <c r="E44" s="2" t="s">
        <v>63</v>
      </c>
      <c r="F44" s="3" t="s">
        <v>318</v>
      </c>
      <c r="G44" s="2" t="s">
        <v>319</v>
      </c>
    </row>
    <row r="45" spans="1:7" x14ac:dyDescent="0.25">
      <c r="A45" s="2" t="s">
        <v>63</v>
      </c>
      <c r="B45" s="3" t="s">
        <v>320</v>
      </c>
      <c r="C45" s="2" t="s">
        <v>321</v>
      </c>
      <c r="E45" s="2" t="s">
        <v>63</v>
      </c>
      <c r="F45" s="3" t="s">
        <v>320</v>
      </c>
      <c r="G45" s="2" t="s">
        <v>321</v>
      </c>
    </row>
    <row r="46" spans="1:7" ht="14.4" thickBot="1" x14ac:dyDescent="0.3">
      <c r="A46" s="2" t="s">
        <v>63</v>
      </c>
      <c r="B46" s="3" t="s">
        <v>322</v>
      </c>
      <c r="C46" s="2" t="s">
        <v>323</v>
      </c>
      <c r="E46" s="5" t="s">
        <v>63</v>
      </c>
      <c r="F46" s="4" t="s">
        <v>324</v>
      </c>
      <c r="G46" s="5" t="s">
        <v>325</v>
      </c>
    </row>
    <row r="47" spans="1:7" ht="14.4" thickBot="1" x14ac:dyDescent="0.3">
      <c r="A47" s="5" t="s">
        <v>63</v>
      </c>
      <c r="B47" s="4" t="s">
        <v>324</v>
      </c>
      <c r="C47" s="5" t="s">
        <v>325</v>
      </c>
      <c r="E47" s="12" t="s">
        <v>80</v>
      </c>
      <c r="F47" s="13" t="s">
        <v>306</v>
      </c>
      <c r="G47" s="12" t="s">
        <v>453</v>
      </c>
    </row>
    <row r="48" spans="1:7" ht="14.4" thickBot="1" x14ac:dyDescent="0.3">
      <c r="A48" s="12" t="s">
        <v>80</v>
      </c>
      <c r="B48" s="13" t="s">
        <v>306</v>
      </c>
      <c r="C48" s="12" t="s">
        <v>453</v>
      </c>
      <c r="E48" s="14" t="s">
        <v>36</v>
      </c>
      <c r="F48" s="6" t="s">
        <v>251</v>
      </c>
      <c r="G48" s="14" t="s">
        <v>252</v>
      </c>
    </row>
    <row r="49" spans="1:7" ht="14.4" thickBot="1" x14ac:dyDescent="0.3">
      <c r="A49" s="14" t="s">
        <v>36</v>
      </c>
      <c r="B49" s="6" t="s">
        <v>251</v>
      </c>
      <c r="C49" s="14" t="s">
        <v>252</v>
      </c>
      <c r="E49" s="5" t="s">
        <v>36</v>
      </c>
      <c r="F49" s="4" t="s">
        <v>406</v>
      </c>
      <c r="G49" s="5" t="s">
        <v>407</v>
      </c>
    </row>
    <row r="50" spans="1:7" x14ac:dyDescent="0.25">
      <c r="A50" s="2" t="s">
        <v>36</v>
      </c>
      <c r="B50" s="3" t="s">
        <v>253</v>
      </c>
      <c r="C50" s="2" t="s">
        <v>254</v>
      </c>
      <c r="E50" s="14" t="s">
        <v>72</v>
      </c>
      <c r="F50" s="6" t="s">
        <v>330</v>
      </c>
      <c r="G50" s="14" t="s">
        <v>331</v>
      </c>
    </row>
    <row r="51" spans="1:7" x14ac:dyDescent="0.25">
      <c r="A51" s="2" t="s">
        <v>36</v>
      </c>
      <c r="B51" s="3" t="s">
        <v>326</v>
      </c>
      <c r="C51" s="2" t="s">
        <v>327</v>
      </c>
      <c r="E51" s="2" t="s">
        <v>72</v>
      </c>
      <c r="F51" s="3" t="s">
        <v>251</v>
      </c>
      <c r="G51" s="2" t="s">
        <v>252</v>
      </c>
    </row>
    <row r="52" spans="1:7" ht="14.4" thickBot="1" x14ac:dyDescent="0.3">
      <c r="A52" s="5" t="s">
        <v>36</v>
      </c>
      <c r="B52" s="4" t="s">
        <v>328</v>
      </c>
      <c r="C52" s="5" t="s">
        <v>329</v>
      </c>
      <c r="E52" s="5" t="s">
        <v>72</v>
      </c>
      <c r="F52" s="4" t="s">
        <v>303</v>
      </c>
      <c r="G52" s="5" t="s">
        <v>304</v>
      </c>
    </row>
    <row r="53" spans="1:7" x14ac:dyDescent="0.25">
      <c r="A53" s="14" t="s">
        <v>72</v>
      </c>
      <c r="B53" s="6" t="s">
        <v>330</v>
      </c>
      <c r="C53" s="14" t="s">
        <v>331</v>
      </c>
      <c r="E53" s="14" t="s">
        <v>31</v>
      </c>
      <c r="F53" s="6" t="s">
        <v>301</v>
      </c>
      <c r="G53" s="14" t="s">
        <v>302</v>
      </c>
    </row>
    <row r="54" spans="1:7" ht="14.4" thickBot="1" x14ac:dyDescent="0.3">
      <c r="A54" s="5" t="s">
        <v>72</v>
      </c>
      <c r="B54" s="4" t="s">
        <v>303</v>
      </c>
      <c r="C54" s="5" t="s">
        <v>304</v>
      </c>
      <c r="E54" s="2" t="s">
        <v>31</v>
      </c>
      <c r="F54" s="3" t="s">
        <v>249</v>
      </c>
      <c r="G54" s="2" t="s">
        <v>250</v>
      </c>
    </row>
    <row r="55" spans="1:7" x14ac:dyDescent="0.25">
      <c r="A55" s="14" t="s">
        <v>31</v>
      </c>
      <c r="B55" s="6" t="s">
        <v>249</v>
      </c>
      <c r="C55" s="14" t="s">
        <v>250</v>
      </c>
      <c r="E55" s="2" t="s">
        <v>31</v>
      </c>
      <c r="F55" s="3" t="s">
        <v>332</v>
      </c>
      <c r="G55" s="2" t="s">
        <v>333</v>
      </c>
    </row>
    <row r="56" spans="1:7" ht="14.4" thickBot="1" x14ac:dyDescent="0.3">
      <c r="A56" s="2" t="s">
        <v>31</v>
      </c>
      <c r="B56" s="3" t="s">
        <v>301</v>
      </c>
      <c r="C56" s="2" t="s">
        <v>302</v>
      </c>
      <c r="E56" s="5" t="s">
        <v>31</v>
      </c>
      <c r="F56" s="4" t="s">
        <v>322</v>
      </c>
      <c r="G56" s="5" t="s">
        <v>323</v>
      </c>
    </row>
    <row r="57" spans="1:7" x14ac:dyDescent="0.25">
      <c r="A57" s="2" t="s">
        <v>31</v>
      </c>
      <c r="B57" s="3" t="s">
        <v>332</v>
      </c>
      <c r="C57" s="2" t="s">
        <v>333</v>
      </c>
      <c r="E57" s="14" t="s">
        <v>6</v>
      </c>
      <c r="F57" s="6" t="s">
        <v>334</v>
      </c>
      <c r="G57" s="14" t="s">
        <v>335</v>
      </c>
    </row>
    <row r="58" spans="1:7" ht="14.4" thickBot="1" x14ac:dyDescent="0.3">
      <c r="A58" s="5" t="s">
        <v>31</v>
      </c>
      <c r="B58" s="4" t="s">
        <v>322</v>
      </c>
      <c r="C58" s="5" t="s">
        <v>323</v>
      </c>
      <c r="E58" s="5" t="s">
        <v>6</v>
      </c>
      <c r="F58" s="4" t="s">
        <v>322</v>
      </c>
      <c r="G58" s="5" t="s">
        <v>323</v>
      </c>
    </row>
    <row r="59" spans="1:7" x14ac:dyDescent="0.25">
      <c r="A59" s="14" t="s">
        <v>6</v>
      </c>
      <c r="B59" s="6" t="s">
        <v>334</v>
      </c>
      <c r="C59" s="14" t="s">
        <v>335</v>
      </c>
      <c r="E59" s="14" t="s">
        <v>32</v>
      </c>
      <c r="F59" s="6" t="s">
        <v>301</v>
      </c>
      <c r="G59" s="14" t="s">
        <v>302</v>
      </c>
    </row>
    <row r="60" spans="1:7" ht="14.4" thickBot="1" x14ac:dyDescent="0.3">
      <c r="A60" s="5" t="s">
        <v>6</v>
      </c>
      <c r="B60" s="4" t="s">
        <v>322</v>
      </c>
      <c r="C60" s="5" t="s">
        <v>323</v>
      </c>
      <c r="E60" s="5" t="s">
        <v>32</v>
      </c>
      <c r="F60" s="4" t="s">
        <v>322</v>
      </c>
      <c r="G60" s="5" t="s">
        <v>323</v>
      </c>
    </row>
    <row r="61" spans="1:7" x14ac:dyDescent="0.25">
      <c r="A61" s="14" t="s">
        <v>32</v>
      </c>
      <c r="B61" s="6" t="s">
        <v>301</v>
      </c>
      <c r="C61" s="14" t="s">
        <v>302</v>
      </c>
      <c r="E61" s="14" t="s">
        <v>33</v>
      </c>
      <c r="F61" s="6" t="s">
        <v>221</v>
      </c>
      <c r="G61" s="14" t="s">
        <v>222</v>
      </c>
    </row>
    <row r="62" spans="1:7" ht="14.4" thickBot="1" x14ac:dyDescent="0.3">
      <c r="A62" s="5" t="s">
        <v>32</v>
      </c>
      <c r="B62" s="4" t="s">
        <v>322</v>
      </c>
      <c r="C62" s="5" t="s">
        <v>323</v>
      </c>
      <c r="E62" s="5" t="s">
        <v>33</v>
      </c>
      <c r="F62" s="4" t="s">
        <v>223</v>
      </c>
      <c r="G62" s="5" t="s">
        <v>224</v>
      </c>
    </row>
    <row r="63" spans="1:7" x14ac:dyDescent="0.25">
      <c r="A63" s="14" t="s">
        <v>33</v>
      </c>
      <c r="B63" s="6" t="s">
        <v>221</v>
      </c>
      <c r="C63" s="14" t="s">
        <v>222</v>
      </c>
      <c r="E63" s="14" t="s">
        <v>28</v>
      </c>
      <c r="F63" s="6" t="s">
        <v>221</v>
      </c>
      <c r="G63" s="14" t="s">
        <v>222</v>
      </c>
    </row>
    <row r="64" spans="1:7" ht="14.4" thickBot="1" x14ac:dyDescent="0.3">
      <c r="A64" s="5" t="s">
        <v>33</v>
      </c>
      <c r="B64" s="4" t="s">
        <v>223</v>
      </c>
      <c r="C64" s="5" t="s">
        <v>224</v>
      </c>
      <c r="E64" s="5" t="s">
        <v>28</v>
      </c>
      <c r="F64" s="4" t="s">
        <v>223</v>
      </c>
      <c r="G64" s="5" t="s">
        <v>224</v>
      </c>
    </row>
    <row r="65" spans="1:7" x14ac:dyDescent="0.25">
      <c r="A65" s="14" t="s">
        <v>28</v>
      </c>
      <c r="B65" s="6" t="s">
        <v>225</v>
      </c>
      <c r="C65" s="14" t="s">
        <v>226</v>
      </c>
      <c r="E65" s="14" t="s">
        <v>227</v>
      </c>
      <c r="F65" s="6" t="s">
        <v>228</v>
      </c>
      <c r="G65" s="14" t="s">
        <v>229</v>
      </c>
    </row>
    <row r="66" spans="1:7" x14ac:dyDescent="0.25">
      <c r="A66" s="2" t="s">
        <v>28</v>
      </c>
      <c r="B66" s="3" t="s">
        <v>221</v>
      </c>
      <c r="C66" s="2" t="s">
        <v>222</v>
      </c>
      <c r="E66" s="2" t="s">
        <v>227</v>
      </c>
      <c r="F66" s="3" t="s">
        <v>242</v>
      </c>
      <c r="G66" s="2" t="s">
        <v>243</v>
      </c>
    </row>
    <row r="67" spans="1:7" ht="14.4" thickBot="1" x14ac:dyDescent="0.3">
      <c r="A67" s="5" t="s">
        <v>28</v>
      </c>
      <c r="B67" s="4" t="s">
        <v>223</v>
      </c>
      <c r="C67" s="5" t="s">
        <v>224</v>
      </c>
      <c r="E67" s="2" t="s">
        <v>227</v>
      </c>
      <c r="F67" s="3" t="s">
        <v>225</v>
      </c>
      <c r="G67" s="2" t="s">
        <v>226</v>
      </c>
    </row>
    <row r="68" spans="1:7" ht="14.4" thickBot="1" x14ac:dyDescent="0.3">
      <c r="A68" s="12" t="s">
        <v>227</v>
      </c>
      <c r="B68" s="13" t="s">
        <v>228</v>
      </c>
      <c r="C68" s="12" t="s">
        <v>229</v>
      </c>
      <c r="E68" s="5" t="s">
        <v>227</v>
      </c>
      <c r="F68" s="4" t="s">
        <v>408</v>
      </c>
      <c r="G68" s="5" t="s">
        <v>409</v>
      </c>
    </row>
    <row r="69" spans="1:7" x14ac:dyDescent="0.25">
      <c r="A69" s="14" t="s">
        <v>13</v>
      </c>
      <c r="B69" s="6" t="s">
        <v>225</v>
      </c>
      <c r="C69" s="14" t="s">
        <v>226</v>
      </c>
      <c r="E69" s="14" t="s">
        <v>13</v>
      </c>
      <c r="F69" s="6" t="s">
        <v>390</v>
      </c>
      <c r="G69" s="14" t="s">
        <v>391</v>
      </c>
    </row>
    <row r="70" spans="1:7" ht="14.4" thickBot="1" x14ac:dyDescent="0.3">
      <c r="A70" s="2" t="s">
        <v>13</v>
      </c>
      <c r="B70" s="3" t="s">
        <v>221</v>
      </c>
      <c r="C70" s="2" t="s">
        <v>222</v>
      </c>
      <c r="E70" s="5" t="s">
        <v>13</v>
      </c>
      <c r="F70" s="4" t="s">
        <v>221</v>
      </c>
      <c r="G70" s="5" t="s">
        <v>222</v>
      </c>
    </row>
    <row r="71" spans="1:7" ht="14.4" thickBot="1" x14ac:dyDescent="0.3">
      <c r="A71" s="5" t="s">
        <v>13</v>
      </c>
      <c r="B71" s="4" t="s">
        <v>390</v>
      </c>
      <c r="C71" s="5" t="s">
        <v>391</v>
      </c>
      <c r="E71" s="14" t="s">
        <v>10</v>
      </c>
      <c r="F71" s="6" t="s">
        <v>279</v>
      </c>
      <c r="G71" s="14" t="s">
        <v>280</v>
      </c>
    </row>
    <row r="72" spans="1:7" x14ac:dyDescent="0.25">
      <c r="A72" s="14" t="s">
        <v>10</v>
      </c>
      <c r="B72" s="6" t="s">
        <v>279</v>
      </c>
      <c r="C72" s="14" t="s">
        <v>280</v>
      </c>
      <c r="E72" s="2" t="s">
        <v>10</v>
      </c>
      <c r="F72" s="3" t="s">
        <v>410</v>
      </c>
      <c r="G72" s="2" t="s">
        <v>411</v>
      </c>
    </row>
    <row r="73" spans="1:7" x14ac:dyDescent="0.25">
      <c r="A73" s="2" t="s">
        <v>10</v>
      </c>
      <c r="B73" s="3" t="s">
        <v>281</v>
      </c>
      <c r="C73" s="2" t="s">
        <v>282</v>
      </c>
      <c r="E73" s="2" t="s">
        <v>10</v>
      </c>
      <c r="F73" s="3" t="s">
        <v>281</v>
      </c>
      <c r="G73" s="2" t="s">
        <v>282</v>
      </c>
    </row>
    <row r="74" spans="1:7" x14ac:dyDescent="0.25">
      <c r="A74" s="2" t="s">
        <v>10</v>
      </c>
      <c r="B74" s="3" t="s">
        <v>283</v>
      </c>
      <c r="C74" s="2" t="s">
        <v>284</v>
      </c>
      <c r="E74" s="2" t="s">
        <v>10</v>
      </c>
      <c r="F74" s="3" t="s">
        <v>283</v>
      </c>
      <c r="G74" s="2" t="s">
        <v>284</v>
      </c>
    </row>
    <row r="75" spans="1:7" x14ac:dyDescent="0.25">
      <c r="A75" s="2" t="s">
        <v>10</v>
      </c>
      <c r="B75" s="3" t="s">
        <v>257</v>
      </c>
      <c r="C75" s="2" t="s">
        <v>258</v>
      </c>
      <c r="E75" s="2" t="s">
        <v>10</v>
      </c>
      <c r="F75" s="3" t="s">
        <v>225</v>
      </c>
      <c r="G75" s="2" t="s">
        <v>226</v>
      </c>
    </row>
    <row r="76" spans="1:7" ht="14.4" thickBot="1" x14ac:dyDescent="0.3">
      <c r="A76" s="5" t="s">
        <v>10</v>
      </c>
      <c r="B76" s="4" t="s">
        <v>392</v>
      </c>
      <c r="C76" s="5" t="s">
        <v>393</v>
      </c>
      <c r="E76" s="5" t="s">
        <v>10</v>
      </c>
      <c r="F76" s="4" t="s">
        <v>392</v>
      </c>
      <c r="G76" s="5" t="s">
        <v>393</v>
      </c>
    </row>
    <row r="77" spans="1:7" ht="14.4" thickBot="1" x14ac:dyDescent="0.3">
      <c r="A77" s="12" t="s">
        <v>285</v>
      </c>
      <c r="B77" s="13" t="s">
        <v>279</v>
      </c>
      <c r="C77" s="12" t="s">
        <v>280</v>
      </c>
      <c r="E77" s="14" t="s">
        <v>285</v>
      </c>
      <c r="F77" s="6" t="s">
        <v>279</v>
      </c>
      <c r="G77" s="14" t="s">
        <v>280</v>
      </c>
    </row>
    <row r="78" spans="1:7" ht="14.4" thickBot="1" x14ac:dyDescent="0.3">
      <c r="A78" s="14" t="s">
        <v>23</v>
      </c>
      <c r="B78" s="6" t="s">
        <v>230</v>
      </c>
      <c r="C78" s="14" t="s">
        <v>231</v>
      </c>
      <c r="E78" s="5" t="s">
        <v>27</v>
      </c>
      <c r="F78" s="4" t="s">
        <v>412</v>
      </c>
      <c r="G78" s="5" t="s">
        <v>413</v>
      </c>
    </row>
    <row r="79" spans="1:7" ht="14.4" thickBot="1" x14ac:dyDescent="0.3">
      <c r="A79" s="2" t="s">
        <v>286</v>
      </c>
      <c r="B79" s="3" t="s">
        <v>283</v>
      </c>
      <c r="C79" s="2" t="s">
        <v>284</v>
      </c>
      <c r="E79" s="12" t="s">
        <v>23</v>
      </c>
      <c r="F79" s="13" t="s">
        <v>230</v>
      </c>
      <c r="G79" s="12" t="s">
        <v>231</v>
      </c>
    </row>
    <row r="80" spans="1:7" ht="14.4" thickBot="1" x14ac:dyDescent="0.3">
      <c r="A80" s="5" t="s">
        <v>286</v>
      </c>
      <c r="B80" s="4" t="s">
        <v>257</v>
      </c>
      <c r="C80" s="5" t="s">
        <v>258</v>
      </c>
      <c r="E80" s="14" t="s">
        <v>286</v>
      </c>
      <c r="F80" s="6" t="s">
        <v>269</v>
      </c>
      <c r="G80" s="14" t="s">
        <v>270</v>
      </c>
    </row>
    <row r="81" spans="1:7" ht="14.4" thickBot="1" x14ac:dyDescent="0.3">
      <c r="A81" s="14" t="s">
        <v>4</v>
      </c>
      <c r="B81" s="6" t="s">
        <v>228</v>
      </c>
      <c r="C81" s="14" t="s">
        <v>229</v>
      </c>
      <c r="E81" s="5" t="s">
        <v>286</v>
      </c>
      <c r="F81" s="4" t="s">
        <v>283</v>
      </c>
      <c r="G81" s="5" t="s">
        <v>284</v>
      </c>
    </row>
    <row r="82" spans="1:7" x14ac:dyDescent="0.25">
      <c r="A82" s="2" t="s">
        <v>4</v>
      </c>
      <c r="B82" s="3" t="s">
        <v>287</v>
      </c>
      <c r="C82" s="2" t="s">
        <v>288</v>
      </c>
      <c r="E82" s="14" t="s">
        <v>4</v>
      </c>
      <c r="F82" s="6" t="s">
        <v>228</v>
      </c>
      <c r="G82" s="14" t="s">
        <v>229</v>
      </c>
    </row>
    <row r="83" spans="1:7" ht="14.4" thickBot="1" x14ac:dyDescent="0.3">
      <c r="A83" s="2" t="s">
        <v>4</v>
      </c>
      <c r="B83" s="3" t="s">
        <v>283</v>
      </c>
      <c r="C83" s="2" t="s">
        <v>284</v>
      </c>
      <c r="E83" s="5" t="s">
        <v>4</v>
      </c>
      <c r="F83" s="4" t="s">
        <v>283</v>
      </c>
      <c r="G83" s="5" t="s">
        <v>284</v>
      </c>
    </row>
    <row r="84" spans="1:7" x14ac:dyDescent="0.25">
      <c r="A84" s="2" t="s">
        <v>4</v>
      </c>
      <c r="B84" s="3" t="s">
        <v>289</v>
      </c>
      <c r="C84" s="2" t="s">
        <v>455</v>
      </c>
      <c r="E84" s="14" t="s">
        <v>19</v>
      </c>
      <c r="F84" s="6" t="s">
        <v>289</v>
      </c>
      <c r="G84" s="14" t="s">
        <v>462</v>
      </c>
    </row>
    <row r="85" spans="1:7" ht="14.4" thickBot="1" x14ac:dyDescent="0.3">
      <c r="A85" s="5" t="s">
        <v>4</v>
      </c>
      <c r="B85" s="4" t="s">
        <v>388</v>
      </c>
      <c r="C85" s="5" t="s">
        <v>389</v>
      </c>
      <c r="E85" s="2" t="s">
        <v>19</v>
      </c>
      <c r="F85" s="3" t="s">
        <v>414</v>
      </c>
      <c r="G85" s="2" t="s">
        <v>415</v>
      </c>
    </row>
    <row r="86" spans="1:7" x14ac:dyDescent="0.25">
      <c r="A86" s="14" t="s">
        <v>19</v>
      </c>
      <c r="B86" s="6" t="s">
        <v>232</v>
      </c>
      <c r="C86" s="14" t="s">
        <v>233</v>
      </c>
      <c r="E86" s="2" t="s">
        <v>19</v>
      </c>
      <c r="F86" s="3" t="s">
        <v>234</v>
      </c>
      <c r="G86" s="2" t="s">
        <v>235</v>
      </c>
    </row>
    <row r="87" spans="1:7" x14ac:dyDescent="0.25">
      <c r="A87" s="2" t="s">
        <v>19</v>
      </c>
      <c r="B87" s="3" t="s">
        <v>234</v>
      </c>
      <c r="C87" s="2" t="s">
        <v>235</v>
      </c>
      <c r="E87" s="2" t="s">
        <v>19</v>
      </c>
      <c r="F87" s="3" t="s">
        <v>416</v>
      </c>
      <c r="G87" s="2" t="s">
        <v>464</v>
      </c>
    </row>
    <row r="88" spans="1:7" ht="14.4" thickBot="1" x14ac:dyDescent="0.3">
      <c r="A88" s="2" t="s">
        <v>19</v>
      </c>
      <c r="B88" s="3" t="s">
        <v>236</v>
      </c>
      <c r="C88" s="2" t="s">
        <v>237</v>
      </c>
      <c r="E88" s="5" t="s">
        <v>19</v>
      </c>
      <c r="F88" s="4" t="s">
        <v>236</v>
      </c>
      <c r="G88" s="5" t="s">
        <v>237</v>
      </c>
    </row>
    <row r="89" spans="1:7" ht="14.4" thickBot="1" x14ac:dyDescent="0.3">
      <c r="A89" s="5" t="s">
        <v>19</v>
      </c>
      <c r="B89" s="4" t="s">
        <v>388</v>
      </c>
      <c r="C89" s="5" t="s">
        <v>389</v>
      </c>
      <c r="E89" s="12" t="s">
        <v>7</v>
      </c>
      <c r="F89" s="13" t="s">
        <v>334</v>
      </c>
      <c r="G89" s="12" t="s">
        <v>335</v>
      </c>
    </row>
    <row r="90" spans="1:7" ht="14.4" thickBot="1" x14ac:dyDescent="0.3">
      <c r="A90" s="14" t="s">
        <v>76</v>
      </c>
      <c r="B90" s="6" t="s">
        <v>247</v>
      </c>
      <c r="C90" s="14" t="s">
        <v>248</v>
      </c>
      <c r="E90" s="12" t="s">
        <v>74</v>
      </c>
      <c r="F90" s="13" t="s">
        <v>316</v>
      </c>
      <c r="G90" s="12" t="s">
        <v>317</v>
      </c>
    </row>
    <row r="91" spans="1:7" ht="14.4" thickBot="1" x14ac:dyDescent="0.3">
      <c r="A91" s="15" t="s">
        <v>76</v>
      </c>
      <c r="B91" s="8" t="s">
        <v>251</v>
      </c>
      <c r="C91" s="15" t="s">
        <v>252</v>
      </c>
      <c r="E91" s="14" t="s">
        <v>76</v>
      </c>
      <c r="F91" s="6" t="s">
        <v>406</v>
      </c>
      <c r="G91" s="14" t="s">
        <v>407</v>
      </c>
    </row>
    <row r="92" spans="1:7" ht="14.4" thickBot="1" x14ac:dyDescent="0.3">
      <c r="A92" s="13" t="s">
        <v>77</v>
      </c>
      <c r="B92" s="13" t="s">
        <v>251</v>
      </c>
      <c r="C92" s="12" t="s">
        <v>252</v>
      </c>
      <c r="E92" s="2" t="s">
        <v>76</v>
      </c>
      <c r="F92" s="3" t="s">
        <v>247</v>
      </c>
      <c r="G92" s="2" t="s">
        <v>248</v>
      </c>
    </row>
    <row r="93" spans="1:7" ht="14.4" thickBot="1" x14ac:dyDescent="0.3">
      <c r="A93" s="14" t="s">
        <v>5</v>
      </c>
      <c r="B93" s="6" t="s">
        <v>334</v>
      </c>
      <c r="C93" s="14" t="s">
        <v>335</v>
      </c>
      <c r="E93" s="5" t="s">
        <v>76</v>
      </c>
      <c r="F93" s="4" t="s">
        <v>417</v>
      </c>
      <c r="G93" s="5" t="s">
        <v>418</v>
      </c>
    </row>
    <row r="94" spans="1:7" ht="14.4" thickBot="1" x14ac:dyDescent="0.3">
      <c r="A94" s="2" t="s">
        <v>5</v>
      </c>
      <c r="B94" s="3" t="s">
        <v>336</v>
      </c>
      <c r="C94" s="2" t="s">
        <v>337</v>
      </c>
      <c r="E94" s="12" t="s">
        <v>77</v>
      </c>
      <c r="F94" s="13" t="s">
        <v>251</v>
      </c>
      <c r="G94" s="12" t="s">
        <v>252</v>
      </c>
    </row>
    <row r="95" spans="1:7" x14ac:dyDescent="0.25">
      <c r="A95" s="2" t="s">
        <v>5</v>
      </c>
      <c r="B95" s="3" t="s">
        <v>338</v>
      </c>
      <c r="C95" s="2" t="s">
        <v>339</v>
      </c>
      <c r="E95" s="14" t="s">
        <v>5</v>
      </c>
      <c r="F95" s="6" t="s">
        <v>326</v>
      </c>
      <c r="G95" s="14" t="s">
        <v>327</v>
      </c>
    </row>
    <row r="96" spans="1:7" ht="14.4" thickBot="1" x14ac:dyDescent="0.3">
      <c r="A96" s="5" t="s">
        <v>5</v>
      </c>
      <c r="B96" s="4" t="s">
        <v>330</v>
      </c>
      <c r="C96" s="5" t="s">
        <v>331</v>
      </c>
      <c r="E96" s="2" t="s">
        <v>5</v>
      </c>
      <c r="F96" s="3" t="s">
        <v>338</v>
      </c>
      <c r="G96" s="2" t="s">
        <v>339</v>
      </c>
    </row>
    <row r="97" spans="1:7" ht="14.4" thickBot="1" x14ac:dyDescent="0.3">
      <c r="A97" s="14" t="s">
        <v>57</v>
      </c>
      <c r="B97" s="6" t="s">
        <v>340</v>
      </c>
      <c r="C97" s="14" t="s">
        <v>456</v>
      </c>
      <c r="E97" s="5" t="s">
        <v>5</v>
      </c>
      <c r="F97" s="4" t="s">
        <v>330</v>
      </c>
      <c r="G97" s="5" t="s">
        <v>331</v>
      </c>
    </row>
    <row r="98" spans="1:7" ht="14.4" thickBot="1" x14ac:dyDescent="0.3">
      <c r="A98" s="2" t="s">
        <v>41</v>
      </c>
      <c r="B98" s="3" t="s">
        <v>265</v>
      </c>
      <c r="C98" s="2" t="s">
        <v>266</v>
      </c>
      <c r="E98" s="12" t="s">
        <v>64</v>
      </c>
      <c r="F98" s="13" t="s">
        <v>336</v>
      </c>
      <c r="G98" s="12" t="s">
        <v>337</v>
      </c>
    </row>
    <row r="99" spans="1:7" ht="14.4" thickBot="1" x14ac:dyDescent="0.3">
      <c r="A99" s="5" t="s">
        <v>41</v>
      </c>
      <c r="B99" s="4" t="s">
        <v>341</v>
      </c>
      <c r="C99" s="5" t="s">
        <v>342</v>
      </c>
      <c r="E99" s="12" t="s">
        <v>57</v>
      </c>
      <c r="F99" s="13" t="s">
        <v>340</v>
      </c>
      <c r="G99" s="12" t="s">
        <v>456</v>
      </c>
    </row>
    <row r="100" spans="1:7" ht="14.4" thickBot="1" x14ac:dyDescent="0.3">
      <c r="A100" s="14" t="s">
        <v>52</v>
      </c>
      <c r="B100" s="6" t="s">
        <v>343</v>
      </c>
      <c r="C100" s="14" t="s">
        <v>344</v>
      </c>
      <c r="E100" s="12" t="s">
        <v>58</v>
      </c>
      <c r="F100" s="13" t="s">
        <v>357</v>
      </c>
      <c r="G100" s="12" t="s">
        <v>358</v>
      </c>
    </row>
    <row r="101" spans="1:7" ht="14.4" thickBot="1" x14ac:dyDescent="0.3">
      <c r="A101" s="2" t="s">
        <v>52</v>
      </c>
      <c r="B101" s="3" t="s">
        <v>345</v>
      </c>
      <c r="C101" s="2" t="s">
        <v>346</v>
      </c>
      <c r="E101" s="12" t="s">
        <v>41</v>
      </c>
      <c r="F101" s="13" t="s">
        <v>419</v>
      </c>
      <c r="G101" s="12" t="s">
        <v>420</v>
      </c>
    </row>
    <row r="102" spans="1:7" x14ac:dyDescent="0.25">
      <c r="A102" s="2" t="s">
        <v>52</v>
      </c>
      <c r="B102" s="3" t="s">
        <v>347</v>
      </c>
      <c r="C102" s="2" t="s">
        <v>348</v>
      </c>
      <c r="E102" s="14" t="s">
        <v>52</v>
      </c>
      <c r="F102" s="6" t="s">
        <v>343</v>
      </c>
      <c r="G102" s="14" t="s">
        <v>344</v>
      </c>
    </row>
    <row r="103" spans="1:7" x14ac:dyDescent="0.25">
      <c r="A103" s="2" t="s">
        <v>52</v>
      </c>
      <c r="B103" s="3" t="s">
        <v>336</v>
      </c>
      <c r="C103" s="2" t="s">
        <v>337</v>
      </c>
      <c r="E103" s="2" t="s">
        <v>52</v>
      </c>
      <c r="F103" s="3" t="s">
        <v>345</v>
      </c>
      <c r="G103" s="2" t="s">
        <v>346</v>
      </c>
    </row>
    <row r="104" spans="1:7" x14ac:dyDescent="0.25">
      <c r="A104" s="2" t="s">
        <v>52</v>
      </c>
      <c r="B104" s="3" t="s">
        <v>308</v>
      </c>
      <c r="C104" s="2" t="s">
        <v>309</v>
      </c>
      <c r="E104" s="2" t="s">
        <v>52</v>
      </c>
      <c r="F104" s="3" t="s">
        <v>347</v>
      </c>
      <c r="G104" s="2" t="s">
        <v>348</v>
      </c>
    </row>
    <row r="105" spans="1:7" x14ac:dyDescent="0.25">
      <c r="A105" s="2" t="s">
        <v>52</v>
      </c>
      <c r="B105" s="3" t="s">
        <v>349</v>
      </c>
      <c r="C105" s="2" t="s">
        <v>350</v>
      </c>
      <c r="E105" s="2" t="s">
        <v>52</v>
      </c>
      <c r="F105" s="3" t="s">
        <v>336</v>
      </c>
      <c r="G105" s="2" t="s">
        <v>337</v>
      </c>
    </row>
    <row r="106" spans="1:7" ht="14.4" thickBot="1" x14ac:dyDescent="0.3">
      <c r="A106" s="5" t="s">
        <v>52</v>
      </c>
      <c r="B106" s="4" t="s">
        <v>351</v>
      </c>
      <c r="C106" s="5" t="s">
        <v>352</v>
      </c>
      <c r="E106" s="2" t="s">
        <v>52</v>
      </c>
      <c r="F106" s="3" t="s">
        <v>308</v>
      </c>
      <c r="G106" s="2" t="s">
        <v>309</v>
      </c>
    </row>
    <row r="107" spans="1:7" x14ac:dyDescent="0.25">
      <c r="A107" s="14" t="s">
        <v>34</v>
      </c>
      <c r="B107" s="6" t="s">
        <v>353</v>
      </c>
      <c r="C107" s="14" t="s">
        <v>354</v>
      </c>
      <c r="E107" s="2" t="s">
        <v>52</v>
      </c>
      <c r="F107" s="3" t="s">
        <v>359</v>
      </c>
      <c r="G107" s="2" t="s">
        <v>360</v>
      </c>
    </row>
    <row r="108" spans="1:7" ht="14.4" thickBot="1" x14ac:dyDescent="0.3">
      <c r="A108" s="5" t="s">
        <v>34</v>
      </c>
      <c r="B108" s="4" t="s">
        <v>382</v>
      </c>
      <c r="C108" s="5" t="s">
        <v>383</v>
      </c>
      <c r="E108" s="2" t="s">
        <v>52</v>
      </c>
      <c r="F108" s="3" t="s">
        <v>349</v>
      </c>
      <c r="G108" s="2" t="s">
        <v>350</v>
      </c>
    </row>
    <row r="109" spans="1:7" ht="14.4" thickBot="1" x14ac:dyDescent="0.3">
      <c r="A109" s="12" t="s">
        <v>42</v>
      </c>
      <c r="B109" s="13" t="s">
        <v>343</v>
      </c>
      <c r="C109" s="12" t="s">
        <v>344</v>
      </c>
      <c r="E109" s="2" t="s">
        <v>52</v>
      </c>
      <c r="F109" s="3" t="s">
        <v>421</v>
      </c>
      <c r="G109" s="2" t="s">
        <v>422</v>
      </c>
    </row>
    <row r="110" spans="1:7" x14ac:dyDescent="0.25">
      <c r="A110" s="14" t="s">
        <v>42</v>
      </c>
      <c r="B110" s="6" t="s">
        <v>347</v>
      </c>
      <c r="C110" s="14" t="s">
        <v>348</v>
      </c>
      <c r="E110" s="2" t="s">
        <v>52</v>
      </c>
      <c r="F110" s="3" t="s">
        <v>351</v>
      </c>
      <c r="G110" s="2" t="s">
        <v>352</v>
      </c>
    </row>
    <row r="111" spans="1:7" x14ac:dyDescent="0.25">
      <c r="A111" s="2" t="s">
        <v>42</v>
      </c>
      <c r="B111" s="3" t="s">
        <v>355</v>
      </c>
      <c r="C111" s="2" t="s">
        <v>356</v>
      </c>
      <c r="E111" s="2" t="s">
        <v>52</v>
      </c>
      <c r="F111" s="3" t="s">
        <v>423</v>
      </c>
      <c r="G111" s="2" t="s">
        <v>424</v>
      </c>
    </row>
    <row r="112" spans="1:7" x14ac:dyDescent="0.25">
      <c r="A112" s="2" t="s">
        <v>42</v>
      </c>
      <c r="B112" s="3" t="s">
        <v>308</v>
      </c>
      <c r="C112" s="2" t="s">
        <v>309</v>
      </c>
      <c r="E112" s="2" t="s">
        <v>34</v>
      </c>
      <c r="F112" s="3" t="s">
        <v>382</v>
      </c>
      <c r="G112" s="2" t="s">
        <v>383</v>
      </c>
    </row>
    <row r="113" spans="1:7" x14ac:dyDescent="0.25">
      <c r="A113" s="2" t="s">
        <v>42</v>
      </c>
      <c r="B113" s="3" t="s">
        <v>338</v>
      </c>
      <c r="C113" s="2" t="s">
        <v>339</v>
      </c>
      <c r="E113" s="2" t="s">
        <v>34</v>
      </c>
      <c r="F113" s="3" t="s">
        <v>349</v>
      </c>
      <c r="G113" s="2" t="s">
        <v>350</v>
      </c>
    </row>
    <row r="114" spans="1:7" ht="14.4" thickBot="1" x14ac:dyDescent="0.3">
      <c r="A114" s="2" t="s">
        <v>42</v>
      </c>
      <c r="B114" s="3" t="s">
        <v>353</v>
      </c>
      <c r="C114" s="2" t="s">
        <v>354</v>
      </c>
      <c r="E114" s="5" t="s">
        <v>34</v>
      </c>
      <c r="F114" s="4" t="s">
        <v>425</v>
      </c>
      <c r="G114" s="5" t="s">
        <v>426</v>
      </c>
    </row>
    <row r="115" spans="1:7" ht="14.4" thickBot="1" x14ac:dyDescent="0.3">
      <c r="A115" s="15" t="s">
        <v>42</v>
      </c>
      <c r="B115" s="8" t="s">
        <v>349</v>
      </c>
      <c r="C115" s="15" t="s">
        <v>350</v>
      </c>
      <c r="E115" s="14" t="s">
        <v>42</v>
      </c>
      <c r="F115" s="6" t="s">
        <v>384</v>
      </c>
      <c r="G115" s="14" t="s">
        <v>385</v>
      </c>
    </row>
    <row r="116" spans="1:7" ht="14.4" thickBot="1" x14ac:dyDescent="0.3">
      <c r="A116" s="13" t="s">
        <v>75</v>
      </c>
      <c r="B116" s="13" t="s">
        <v>349</v>
      </c>
      <c r="C116" s="12" t="s">
        <v>350</v>
      </c>
      <c r="E116" s="2" t="s">
        <v>42</v>
      </c>
      <c r="F116" s="3" t="s">
        <v>343</v>
      </c>
      <c r="G116" s="2" t="s">
        <v>344</v>
      </c>
    </row>
    <row r="117" spans="1:7" x14ac:dyDescent="0.25">
      <c r="A117" s="14" t="s">
        <v>35</v>
      </c>
      <c r="B117" s="6" t="s">
        <v>180</v>
      </c>
      <c r="C117" s="14" t="s">
        <v>181</v>
      </c>
      <c r="E117" s="2" t="s">
        <v>42</v>
      </c>
      <c r="F117" s="3" t="s">
        <v>347</v>
      </c>
      <c r="G117" s="2" t="s">
        <v>348</v>
      </c>
    </row>
    <row r="118" spans="1:7" x14ac:dyDescent="0.25">
      <c r="A118" s="2" t="s">
        <v>35</v>
      </c>
      <c r="B118" s="3" t="s">
        <v>182</v>
      </c>
      <c r="C118" s="2" t="s">
        <v>183</v>
      </c>
      <c r="E118" s="2" t="s">
        <v>42</v>
      </c>
      <c r="F118" s="3" t="s">
        <v>355</v>
      </c>
      <c r="G118" s="2" t="s">
        <v>356</v>
      </c>
    </row>
    <row r="119" spans="1:7" x14ac:dyDescent="0.25">
      <c r="A119" s="2" t="s">
        <v>35</v>
      </c>
      <c r="B119" s="3" t="s">
        <v>184</v>
      </c>
      <c r="C119" s="2" t="s">
        <v>185</v>
      </c>
      <c r="E119" s="2" t="s">
        <v>42</v>
      </c>
      <c r="F119" s="3" t="s">
        <v>308</v>
      </c>
      <c r="G119" s="2" t="s">
        <v>309</v>
      </c>
    </row>
    <row r="120" spans="1:7" x14ac:dyDescent="0.25">
      <c r="A120" s="2" t="s">
        <v>35</v>
      </c>
      <c r="B120" s="3" t="s">
        <v>178</v>
      </c>
      <c r="C120" s="2" t="s">
        <v>179</v>
      </c>
      <c r="E120" s="2" t="s">
        <v>42</v>
      </c>
      <c r="F120" s="3" t="s">
        <v>338</v>
      </c>
      <c r="G120" s="2" t="s">
        <v>339</v>
      </c>
    </row>
    <row r="121" spans="1:7" x14ac:dyDescent="0.25">
      <c r="A121" s="2" t="s">
        <v>35</v>
      </c>
      <c r="B121" s="3" t="s">
        <v>186</v>
      </c>
      <c r="C121" s="2" t="s">
        <v>457</v>
      </c>
      <c r="E121" s="2" t="s">
        <v>42</v>
      </c>
      <c r="F121" s="3" t="s">
        <v>353</v>
      </c>
      <c r="G121" s="2" t="s">
        <v>354</v>
      </c>
    </row>
    <row r="122" spans="1:7" x14ac:dyDescent="0.25">
      <c r="A122" s="2" t="s">
        <v>35</v>
      </c>
      <c r="B122" s="3" t="s">
        <v>174</v>
      </c>
      <c r="C122" s="2" t="s">
        <v>175</v>
      </c>
      <c r="E122" s="2" t="s">
        <v>42</v>
      </c>
      <c r="F122" s="3" t="s">
        <v>349</v>
      </c>
      <c r="G122" s="2" t="s">
        <v>350</v>
      </c>
    </row>
    <row r="123" spans="1:7" ht="14.4" thickBot="1" x14ac:dyDescent="0.3">
      <c r="A123" s="2" t="s">
        <v>35</v>
      </c>
      <c r="B123" s="3" t="s">
        <v>187</v>
      </c>
      <c r="C123" s="2" t="s">
        <v>188</v>
      </c>
      <c r="E123" s="5" t="s">
        <v>42</v>
      </c>
      <c r="F123" s="4" t="s">
        <v>421</v>
      </c>
      <c r="G123" s="5" t="s">
        <v>422</v>
      </c>
    </row>
    <row r="124" spans="1:7" x14ac:dyDescent="0.25">
      <c r="A124" s="2" t="s">
        <v>35</v>
      </c>
      <c r="B124" s="3" t="s">
        <v>189</v>
      </c>
      <c r="C124" s="2" t="s">
        <v>190</v>
      </c>
      <c r="E124" s="14" t="s">
        <v>35</v>
      </c>
      <c r="F124" s="6" t="s">
        <v>180</v>
      </c>
      <c r="G124" s="14" t="s">
        <v>181</v>
      </c>
    </row>
    <row r="125" spans="1:7" x14ac:dyDescent="0.25">
      <c r="A125" s="2" t="s">
        <v>35</v>
      </c>
      <c r="B125" s="3" t="s">
        <v>191</v>
      </c>
      <c r="C125" s="2" t="s">
        <v>192</v>
      </c>
      <c r="E125" s="2" t="s">
        <v>35</v>
      </c>
      <c r="F125" s="3" t="s">
        <v>182</v>
      </c>
      <c r="G125" s="2" t="s">
        <v>183</v>
      </c>
    </row>
    <row r="126" spans="1:7" x14ac:dyDescent="0.25">
      <c r="A126" s="2" t="s">
        <v>35</v>
      </c>
      <c r="B126" s="3" t="s">
        <v>193</v>
      </c>
      <c r="C126" s="2" t="s">
        <v>194</v>
      </c>
      <c r="E126" s="2" t="s">
        <v>35</v>
      </c>
      <c r="F126" s="3" t="s">
        <v>184</v>
      </c>
      <c r="G126" s="2" t="s">
        <v>185</v>
      </c>
    </row>
    <row r="127" spans="1:7" x14ac:dyDescent="0.25">
      <c r="A127" s="2" t="s">
        <v>35</v>
      </c>
      <c r="B127" s="3" t="s">
        <v>195</v>
      </c>
      <c r="C127" s="2" t="s">
        <v>196</v>
      </c>
      <c r="E127" s="2" t="s">
        <v>35</v>
      </c>
      <c r="F127" s="3" t="s">
        <v>427</v>
      </c>
      <c r="G127" s="2" t="s">
        <v>428</v>
      </c>
    </row>
    <row r="128" spans="1:7" x14ac:dyDescent="0.25">
      <c r="A128" s="2" t="s">
        <v>35</v>
      </c>
      <c r="B128" s="3" t="s">
        <v>197</v>
      </c>
      <c r="C128" s="2" t="s">
        <v>198</v>
      </c>
      <c r="E128" s="2" t="s">
        <v>35</v>
      </c>
      <c r="F128" s="3" t="s">
        <v>186</v>
      </c>
      <c r="G128" s="2" t="s">
        <v>457</v>
      </c>
    </row>
    <row r="129" spans="1:7" x14ac:dyDescent="0.25">
      <c r="A129" s="2" t="s">
        <v>35</v>
      </c>
      <c r="B129" s="3" t="s">
        <v>199</v>
      </c>
      <c r="C129" s="2" t="s">
        <v>200</v>
      </c>
      <c r="E129" s="2" t="s">
        <v>35</v>
      </c>
      <c r="F129" s="3" t="s">
        <v>174</v>
      </c>
      <c r="G129" s="2" t="s">
        <v>175</v>
      </c>
    </row>
    <row r="130" spans="1:7" x14ac:dyDescent="0.25">
      <c r="A130" s="2" t="s">
        <v>35</v>
      </c>
      <c r="B130" s="3" t="s">
        <v>201</v>
      </c>
      <c r="C130" s="2" t="s">
        <v>202</v>
      </c>
      <c r="E130" s="2" t="s">
        <v>35</v>
      </c>
      <c r="F130" s="3" t="s">
        <v>187</v>
      </c>
      <c r="G130" s="2" t="s">
        <v>188</v>
      </c>
    </row>
    <row r="131" spans="1:7" ht="14.4" thickBot="1" x14ac:dyDescent="0.3">
      <c r="A131" s="15" t="s">
        <v>35</v>
      </c>
      <c r="B131" s="8" t="s">
        <v>320</v>
      </c>
      <c r="C131" s="15" t="s">
        <v>321</v>
      </c>
      <c r="E131" s="2" t="s">
        <v>35</v>
      </c>
      <c r="F131" s="3" t="s">
        <v>189</v>
      </c>
      <c r="G131" s="2" t="s">
        <v>190</v>
      </c>
    </row>
    <row r="132" spans="1:7" ht="14.4" thickTop="1" x14ac:dyDescent="0.25">
      <c r="A132" s="16" t="s">
        <v>43</v>
      </c>
      <c r="B132" s="17" t="s">
        <v>255</v>
      </c>
      <c r="C132" s="16" t="s">
        <v>256</v>
      </c>
      <c r="E132" s="2" t="s">
        <v>35</v>
      </c>
      <c r="F132" s="3" t="s">
        <v>191</v>
      </c>
      <c r="G132" s="2" t="s">
        <v>192</v>
      </c>
    </row>
    <row r="133" spans="1:7" x14ac:dyDescent="0.25">
      <c r="A133" s="2" t="s">
        <v>43</v>
      </c>
      <c r="B133" s="3" t="s">
        <v>343</v>
      </c>
      <c r="C133" s="2" t="s">
        <v>344</v>
      </c>
      <c r="E133" s="2" t="s">
        <v>35</v>
      </c>
      <c r="F133" s="3" t="s">
        <v>403</v>
      </c>
      <c r="G133" s="2" t="s">
        <v>466</v>
      </c>
    </row>
    <row r="134" spans="1:7" x14ac:dyDescent="0.25">
      <c r="A134" s="2" t="s">
        <v>43</v>
      </c>
      <c r="B134" s="3" t="s">
        <v>345</v>
      </c>
      <c r="C134" s="2" t="s">
        <v>346</v>
      </c>
      <c r="E134" s="2" t="s">
        <v>35</v>
      </c>
      <c r="F134" s="3" t="s">
        <v>429</v>
      </c>
      <c r="G134" s="2" t="s">
        <v>430</v>
      </c>
    </row>
    <row r="135" spans="1:7" x14ac:dyDescent="0.25">
      <c r="A135" s="2" t="s">
        <v>43</v>
      </c>
      <c r="B135" s="3" t="s">
        <v>340</v>
      </c>
      <c r="C135" s="2" t="s">
        <v>458</v>
      </c>
      <c r="E135" s="2" t="s">
        <v>35</v>
      </c>
      <c r="F135" s="3" t="s">
        <v>199</v>
      </c>
      <c r="G135" s="2" t="s">
        <v>200</v>
      </c>
    </row>
    <row r="136" spans="1:7" x14ac:dyDescent="0.25">
      <c r="A136" s="2" t="s">
        <v>43</v>
      </c>
      <c r="B136" s="3" t="s">
        <v>357</v>
      </c>
      <c r="C136" s="2" t="s">
        <v>358</v>
      </c>
      <c r="E136" s="2" t="s">
        <v>35</v>
      </c>
      <c r="F136" s="3" t="s">
        <v>395</v>
      </c>
      <c r="G136" s="2" t="s">
        <v>396</v>
      </c>
    </row>
    <row r="137" spans="1:7" x14ac:dyDescent="0.25">
      <c r="A137" s="2" t="s">
        <v>43</v>
      </c>
      <c r="B137" s="3" t="s">
        <v>307</v>
      </c>
      <c r="C137" s="2" t="s">
        <v>459</v>
      </c>
      <c r="E137" s="2" t="s">
        <v>35</v>
      </c>
      <c r="F137" s="3" t="s">
        <v>201</v>
      </c>
      <c r="G137" s="2" t="s">
        <v>202</v>
      </c>
    </row>
    <row r="138" spans="1:7" ht="14.4" thickBot="1" x14ac:dyDescent="0.3">
      <c r="A138" s="2" t="s">
        <v>43</v>
      </c>
      <c r="B138" s="3" t="s">
        <v>336</v>
      </c>
      <c r="C138" s="2" t="s">
        <v>337</v>
      </c>
      <c r="E138" s="5" t="s">
        <v>35</v>
      </c>
      <c r="F138" s="4" t="s">
        <v>320</v>
      </c>
      <c r="G138" s="5" t="s">
        <v>321</v>
      </c>
    </row>
    <row r="139" spans="1:7" x14ac:dyDescent="0.25">
      <c r="A139" s="2" t="s">
        <v>43</v>
      </c>
      <c r="B139" s="3" t="s">
        <v>308</v>
      </c>
      <c r="C139" s="2" t="s">
        <v>309</v>
      </c>
      <c r="E139" s="14" t="s">
        <v>43</v>
      </c>
      <c r="F139" s="6" t="s">
        <v>384</v>
      </c>
      <c r="G139" s="14" t="s">
        <v>385</v>
      </c>
    </row>
    <row r="140" spans="1:7" x14ac:dyDescent="0.25">
      <c r="A140" s="2" t="s">
        <v>43</v>
      </c>
      <c r="B140" s="3" t="s">
        <v>359</v>
      </c>
      <c r="C140" s="2" t="s">
        <v>360</v>
      </c>
      <c r="E140" s="2" t="s">
        <v>43</v>
      </c>
      <c r="F140" s="3" t="s">
        <v>386</v>
      </c>
      <c r="G140" s="2" t="s">
        <v>387</v>
      </c>
    </row>
    <row r="141" spans="1:7" x14ac:dyDescent="0.25">
      <c r="A141" s="2" t="s">
        <v>43</v>
      </c>
      <c r="B141" s="3" t="s">
        <v>338</v>
      </c>
      <c r="C141" s="2" t="s">
        <v>339</v>
      </c>
      <c r="E141" s="2" t="s">
        <v>43</v>
      </c>
      <c r="F141" s="3" t="s">
        <v>343</v>
      </c>
      <c r="G141" s="2" t="s">
        <v>468</v>
      </c>
    </row>
    <row r="142" spans="1:7" x14ac:dyDescent="0.25">
      <c r="A142" s="2" t="s">
        <v>43</v>
      </c>
      <c r="B142" s="3" t="s">
        <v>353</v>
      </c>
      <c r="C142" s="2" t="s">
        <v>354</v>
      </c>
      <c r="E142" s="2" t="s">
        <v>43</v>
      </c>
      <c r="F142" s="3" t="s">
        <v>345</v>
      </c>
      <c r="G142" s="2" t="s">
        <v>346</v>
      </c>
    </row>
    <row r="143" spans="1:7" x14ac:dyDescent="0.25">
      <c r="A143" s="2" t="s">
        <v>43</v>
      </c>
      <c r="B143" s="3" t="s">
        <v>349</v>
      </c>
      <c r="C143" s="2" t="s">
        <v>350</v>
      </c>
      <c r="E143" s="2" t="s">
        <v>43</v>
      </c>
      <c r="F143" s="3" t="s">
        <v>340</v>
      </c>
      <c r="G143" s="2" t="s">
        <v>456</v>
      </c>
    </row>
    <row r="144" spans="1:7" x14ac:dyDescent="0.25">
      <c r="A144" s="2" t="s">
        <v>43</v>
      </c>
      <c r="B144" s="3" t="s">
        <v>361</v>
      </c>
      <c r="C144" s="2" t="s">
        <v>362</v>
      </c>
      <c r="E144" s="2" t="s">
        <v>43</v>
      </c>
      <c r="F144" s="3" t="s">
        <v>431</v>
      </c>
      <c r="G144" s="2" t="s">
        <v>432</v>
      </c>
    </row>
    <row r="145" spans="1:7" x14ac:dyDescent="0.25">
      <c r="A145" s="2" t="s">
        <v>43</v>
      </c>
      <c r="B145" s="3" t="s">
        <v>363</v>
      </c>
      <c r="C145" s="2" t="s">
        <v>364</v>
      </c>
      <c r="E145" s="2" t="s">
        <v>43</v>
      </c>
      <c r="F145" s="3" t="s">
        <v>357</v>
      </c>
      <c r="G145" s="2" t="s">
        <v>358</v>
      </c>
    </row>
    <row r="146" spans="1:7" x14ac:dyDescent="0.25">
      <c r="A146" s="2" t="s">
        <v>43</v>
      </c>
      <c r="B146" s="3" t="s">
        <v>384</v>
      </c>
      <c r="C146" s="2" t="s">
        <v>385</v>
      </c>
      <c r="E146" s="2" t="s">
        <v>43</v>
      </c>
      <c r="F146" s="3" t="s">
        <v>307</v>
      </c>
      <c r="G146" s="2" t="s">
        <v>459</v>
      </c>
    </row>
    <row r="147" spans="1:7" ht="14.4" thickBot="1" x14ac:dyDescent="0.3">
      <c r="A147" s="5" t="s">
        <v>43</v>
      </c>
      <c r="B147" s="4" t="s">
        <v>386</v>
      </c>
      <c r="C147" s="5" t="s">
        <v>387</v>
      </c>
      <c r="E147" s="2" t="s">
        <v>43</v>
      </c>
      <c r="F147" s="3" t="s">
        <v>336</v>
      </c>
      <c r="G147" s="2" t="s">
        <v>337</v>
      </c>
    </row>
    <row r="148" spans="1:7" x14ac:dyDescent="0.25">
      <c r="A148" s="14" t="s">
        <v>71</v>
      </c>
      <c r="B148" s="6" t="s">
        <v>365</v>
      </c>
      <c r="C148" s="14" t="s">
        <v>366</v>
      </c>
      <c r="E148" s="2" t="s">
        <v>43</v>
      </c>
      <c r="F148" s="3" t="s">
        <v>355</v>
      </c>
      <c r="G148" s="2" t="s">
        <v>356</v>
      </c>
    </row>
    <row r="149" spans="1:7" ht="14.4" thickBot="1" x14ac:dyDescent="0.3">
      <c r="A149" s="5" t="s">
        <v>71</v>
      </c>
      <c r="B149" s="4" t="s">
        <v>367</v>
      </c>
      <c r="C149" s="5" t="s">
        <v>368</v>
      </c>
      <c r="E149" s="2" t="s">
        <v>43</v>
      </c>
      <c r="F149" s="3" t="s">
        <v>308</v>
      </c>
      <c r="G149" s="2" t="s">
        <v>309</v>
      </c>
    </row>
    <row r="150" spans="1:7" x14ac:dyDescent="0.25">
      <c r="A150" s="14" t="s">
        <v>59</v>
      </c>
      <c r="B150" s="6" t="s">
        <v>353</v>
      </c>
      <c r="C150" s="14" t="s">
        <v>354</v>
      </c>
      <c r="E150" s="2" t="s">
        <v>43</v>
      </c>
      <c r="F150" s="3" t="s">
        <v>359</v>
      </c>
      <c r="G150" s="2" t="s">
        <v>360</v>
      </c>
    </row>
    <row r="151" spans="1:7" ht="14.4" thickBot="1" x14ac:dyDescent="0.3">
      <c r="A151" s="5" t="s">
        <v>59</v>
      </c>
      <c r="B151" s="4" t="s">
        <v>349</v>
      </c>
      <c r="C151" s="5" t="s">
        <v>350</v>
      </c>
      <c r="E151" s="2" t="s">
        <v>43</v>
      </c>
      <c r="F151" s="3" t="s">
        <v>338</v>
      </c>
      <c r="G151" s="2" t="s">
        <v>339</v>
      </c>
    </row>
    <row r="152" spans="1:7" x14ac:dyDescent="0.25">
      <c r="A152" s="14" t="s">
        <v>81</v>
      </c>
      <c r="B152" s="6" t="s">
        <v>255</v>
      </c>
      <c r="C152" s="14" t="s">
        <v>256</v>
      </c>
      <c r="E152" s="2" t="s">
        <v>43</v>
      </c>
      <c r="F152" s="3" t="s">
        <v>349</v>
      </c>
      <c r="G152" s="2" t="s">
        <v>350</v>
      </c>
    </row>
    <row r="153" spans="1:7" x14ac:dyDescent="0.25">
      <c r="A153" s="2" t="s">
        <v>81</v>
      </c>
      <c r="B153" s="3" t="s">
        <v>363</v>
      </c>
      <c r="C153" s="2" t="s">
        <v>364</v>
      </c>
      <c r="E153" s="2" t="s">
        <v>43</v>
      </c>
      <c r="F153" s="3" t="s">
        <v>361</v>
      </c>
      <c r="G153" s="2" t="s">
        <v>362</v>
      </c>
    </row>
    <row r="154" spans="1:7" ht="14.4" thickBot="1" x14ac:dyDescent="0.3">
      <c r="A154" s="5" t="s">
        <v>81</v>
      </c>
      <c r="B154" s="4" t="s">
        <v>369</v>
      </c>
      <c r="C154" s="5" t="s">
        <v>370</v>
      </c>
      <c r="E154" s="2" t="s">
        <v>43</v>
      </c>
      <c r="F154" s="3" t="s">
        <v>363</v>
      </c>
      <c r="G154" s="2" t="s">
        <v>364</v>
      </c>
    </row>
    <row r="155" spans="1:7" x14ac:dyDescent="0.25">
      <c r="A155" s="14" t="s">
        <v>60</v>
      </c>
      <c r="B155" s="6" t="s">
        <v>341</v>
      </c>
      <c r="C155" s="14" t="s">
        <v>342</v>
      </c>
      <c r="E155" s="2" t="s">
        <v>43</v>
      </c>
      <c r="F155" s="3" t="s">
        <v>419</v>
      </c>
      <c r="G155" s="2" t="s">
        <v>420</v>
      </c>
    </row>
    <row r="156" spans="1:7" ht="14.4" thickBot="1" x14ac:dyDescent="0.3">
      <c r="A156" s="5" t="s">
        <v>60</v>
      </c>
      <c r="B156" s="4" t="s">
        <v>365</v>
      </c>
      <c r="C156" s="5" t="s">
        <v>366</v>
      </c>
      <c r="E156" s="5" t="s">
        <v>43</v>
      </c>
      <c r="F156" s="4" t="s">
        <v>255</v>
      </c>
      <c r="G156" s="5" t="s">
        <v>256</v>
      </c>
    </row>
    <row r="157" spans="1:7" ht="14.4" thickBot="1" x14ac:dyDescent="0.3">
      <c r="A157" s="12" t="s">
        <v>61</v>
      </c>
      <c r="B157" s="13" t="s">
        <v>341</v>
      </c>
      <c r="C157" s="12" t="s">
        <v>342</v>
      </c>
      <c r="E157" s="14" t="s">
        <v>71</v>
      </c>
      <c r="F157" s="6" t="s">
        <v>365</v>
      </c>
      <c r="G157" s="14" t="s">
        <v>366</v>
      </c>
    </row>
    <row r="158" spans="1:7" ht="14.4" thickBot="1" x14ac:dyDescent="0.3">
      <c r="A158" s="13" t="s">
        <v>8</v>
      </c>
      <c r="B158" s="13" t="s">
        <v>334</v>
      </c>
      <c r="C158" s="12" t="s">
        <v>335</v>
      </c>
      <c r="E158" s="5" t="s">
        <v>71</v>
      </c>
      <c r="F158" s="4" t="s">
        <v>367</v>
      </c>
      <c r="G158" s="5" t="s">
        <v>368</v>
      </c>
    </row>
    <row r="159" spans="1:7" x14ac:dyDescent="0.25">
      <c r="A159" s="14" t="s">
        <v>40</v>
      </c>
      <c r="B159" s="6" t="s">
        <v>218</v>
      </c>
      <c r="C159" s="14" t="s">
        <v>452</v>
      </c>
      <c r="E159" s="14" t="s">
        <v>59</v>
      </c>
      <c r="F159" s="6" t="s">
        <v>357</v>
      </c>
      <c r="G159" s="14" t="s">
        <v>358</v>
      </c>
    </row>
    <row r="160" spans="1:7" x14ac:dyDescent="0.25">
      <c r="A160" s="2" t="s">
        <v>40</v>
      </c>
      <c r="B160" s="3" t="s">
        <v>238</v>
      </c>
      <c r="C160" s="2" t="s">
        <v>239</v>
      </c>
      <c r="E160" s="2" t="s">
        <v>59</v>
      </c>
      <c r="F160" s="3" t="s">
        <v>353</v>
      </c>
      <c r="G160" s="2" t="s">
        <v>354</v>
      </c>
    </row>
    <row r="161" spans="1:7" ht="14.4" thickBot="1" x14ac:dyDescent="0.3">
      <c r="A161" s="2" t="s">
        <v>40</v>
      </c>
      <c r="B161" s="3" t="s">
        <v>240</v>
      </c>
      <c r="C161" s="2" t="s">
        <v>241</v>
      </c>
      <c r="E161" s="5" t="s">
        <v>59</v>
      </c>
      <c r="F161" s="4" t="s">
        <v>349</v>
      </c>
      <c r="G161" s="5" t="s">
        <v>350</v>
      </c>
    </row>
    <row r="162" spans="1:7" ht="14.4" thickBot="1" x14ac:dyDescent="0.3">
      <c r="A162" s="5" t="s">
        <v>14</v>
      </c>
      <c r="B162" s="4" t="s">
        <v>390</v>
      </c>
      <c r="C162" s="5" t="s">
        <v>391</v>
      </c>
      <c r="E162" s="12" t="s">
        <v>68</v>
      </c>
      <c r="F162" s="13" t="s">
        <v>359</v>
      </c>
      <c r="G162" s="12" t="s">
        <v>360</v>
      </c>
    </row>
    <row r="163" spans="1:7" x14ac:dyDescent="0.25">
      <c r="A163" s="14" t="s">
        <v>15</v>
      </c>
      <c r="B163" s="6" t="s">
        <v>390</v>
      </c>
      <c r="C163" s="14" t="s">
        <v>391</v>
      </c>
      <c r="E163" s="14" t="s">
        <v>81</v>
      </c>
      <c r="F163" s="6" t="s">
        <v>363</v>
      </c>
      <c r="G163" s="14" t="s">
        <v>364</v>
      </c>
    </row>
    <row r="164" spans="1:7" x14ac:dyDescent="0.25">
      <c r="A164" s="2" t="s">
        <v>11</v>
      </c>
      <c r="B164" s="3" t="s">
        <v>298</v>
      </c>
      <c r="C164" s="2" t="s">
        <v>299</v>
      </c>
      <c r="E164" s="2" t="s">
        <v>81</v>
      </c>
      <c r="F164" s="3" t="s">
        <v>255</v>
      </c>
      <c r="G164" s="2" t="s">
        <v>256</v>
      </c>
    </row>
    <row r="165" spans="1:7" x14ac:dyDescent="0.25">
      <c r="A165" s="2" t="s">
        <v>24</v>
      </c>
      <c r="B165" s="3" t="s">
        <v>261</v>
      </c>
      <c r="C165" s="2" t="s">
        <v>262</v>
      </c>
      <c r="E165" s="2" t="s">
        <v>81</v>
      </c>
      <c r="F165" s="3" t="s">
        <v>369</v>
      </c>
      <c r="G165" s="2" t="s">
        <v>370</v>
      </c>
    </row>
    <row r="166" spans="1:7" ht="14.4" thickBot="1" x14ac:dyDescent="0.3">
      <c r="A166" s="2" t="s">
        <v>24</v>
      </c>
      <c r="B166" s="3" t="s">
        <v>265</v>
      </c>
      <c r="C166" s="2" t="s">
        <v>266</v>
      </c>
      <c r="E166" s="5" t="s">
        <v>81</v>
      </c>
      <c r="F166" s="4" t="s">
        <v>378</v>
      </c>
      <c r="G166" s="5" t="s">
        <v>379</v>
      </c>
    </row>
    <row r="167" spans="1:7" ht="14.4" thickBot="1" x14ac:dyDescent="0.3">
      <c r="A167" s="5" t="s">
        <v>24</v>
      </c>
      <c r="B167" s="4" t="s">
        <v>392</v>
      </c>
      <c r="C167" s="5" t="s">
        <v>393</v>
      </c>
      <c r="E167" s="14" t="s">
        <v>60</v>
      </c>
      <c r="F167" s="6" t="s">
        <v>365</v>
      </c>
      <c r="G167" s="14" t="s">
        <v>366</v>
      </c>
    </row>
    <row r="168" spans="1:7" ht="14.4" thickBot="1" x14ac:dyDescent="0.3">
      <c r="A168" s="14" t="s">
        <v>82</v>
      </c>
      <c r="B168" s="6" t="s">
        <v>322</v>
      </c>
      <c r="C168" s="14" t="s">
        <v>323</v>
      </c>
      <c r="E168" s="5" t="s">
        <v>60</v>
      </c>
      <c r="F168" s="4" t="s">
        <v>419</v>
      </c>
      <c r="G168" s="5" t="s">
        <v>420</v>
      </c>
    </row>
    <row r="169" spans="1:7" x14ac:dyDescent="0.25">
      <c r="A169" s="2" t="s">
        <v>20</v>
      </c>
      <c r="B169" s="3" t="s">
        <v>388</v>
      </c>
      <c r="C169" s="2" t="s">
        <v>389</v>
      </c>
      <c r="E169" s="14" t="s">
        <v>61</v>
      </c>
      <c r="F169" s="6" t="s">
        <v>419</v>
      </c>
      <c r="G169" s="14" t="s">
        <v>420</v>
      </c>
    </row>
    <row r="170" spans="1:7" ht="14.4" thickBot="1" x14ac:dyDescent="0.3">
      <c r="A170" s="2" t="s">
        <v>371</v>
      </c>
      <c r="B170" s="3" t="s">
        <v>367</v>
      </c>
      <c r="C170" s="2" t="s">
        <v>368</v>
      </c>
      <c r="E170" s="5" t="s">
        <v>61</v>
      </c>
      <c r="F170" s="4" t="s">
        <v>433</v>
      </c>
      <c r="G170" s="5" t="s">
        <v>434</v>
      </c>
    </row>
    <row r="171" spans="1:7" ht="14.4" thickBot="1" x14ac:dyDescent="0.3">
      <c r="A171" s="15" t="s">
        <v>21</v>
      </c>
      <c r="B171" s="8" t="s">
        <v>388</v>
      </c>
      <c r="C171" s="15" t="s">
        <v>389</v>
      </c>
      <c r="E171" s="12" t="s">
        <v>9</v>
      </c>
      <c r="F171" s="13" t="s">
        <v>334</v>
      </c>
      <c r="G171" s="12" t="s">
        <v>335</v>
      </c>
    </row>
    <row r="172" spans="1:7" ht="14.4" thickBot="1" x14ac:dyDescent="0.3">
      <c r="A172" s="13" t="s">
        <v>73</v>
      </c>
      <c r="B172" s="13" t="s">
        <v>314</v>
      </c>
      <c r="C172" s="12" t="s">
        <v>315</v>
      </c>
      <c r="E172" s="14" t="s">
        <v>40</v>
      </c>
      <c r="F172" s="6" t="s">
        <v>218</v>
      </c>
      <c r="G172" s="14" t="s">
        <v>452</v>
      </c>
    </row>
    <row r="173" spans="1:7" x14ac:dyDescent="0.25">
      <c r="A173" s="14" t="s">
        <v>69</v>
      </c>
      <c r="B173" s="6" t="s">
        <v>372</v>
      </c>
      <c r="C173" s="14" t="s">
        <v>373</v>
      </c>
      <c r="E173" s="2" t="s">
        <v>40</v>
      </c>
      <c r="F173" s="3" t="s">
        <v>238</v>
      </c>
      <c r="G173" s="2" t="s">
        <v>239</v>
      </c>
    </row>
    <row r="174" spans="1:7" ht="14.4" thickBot="1" x14ac:dyDescent="0.3">
      <c r="A174" s="2" t="s">
        <v>69</v>
      </c>
      <c r="B174" s="3" t="s">
        <v>367</v>
      </c>
      <c r="C174" s="2" t="s">
        <v>368</v>
      </c>
      <c r="E174" s="5" t="s">
        <v>40</v>
      </c>
      <c r="F174" s="4" t="s">
        <v>240</v>
      </c>
      <c r="G174" s="5" t="s">
        <v>241</v>
      </c>
    </row>
    <row r="175" spans="1:7" ht="14.4" thickBot="1" x14ac:dyDescent="0.3">
      <c r="A175" s="5" t="s">
        <v>69</v>
      </c>
      <c r="B175" s="4" t="s">
        <v>363</v>
      </c>
      <c r="C175" s="5" t="s">
        <v>364</v>
      </c>
      <c r="E175" s="14" t="s">
        <v>14</v>
      </c>
      <c r="F175" s="6" t="s">
        <v>390</v>
      </c>
      <c r="G175" s="14" t="s">
        <v>391</v>
      </c>
    </row>
    <row r="176" spans="1:7" ht="14.4" thickBot="1" x14ac:dyDescent="0.3">
      <c r="A176" s="14" t="s">
        <v>12</v>
      </c>
      <c r="B176" s="6" t="s">
        <v>298</v>
      </c>
      <c r="C176" s="14" t="s">
        <v>299</v>
      </c>
      <c r="E176" s="5" t="s">
        <v>15</v>
      </c>
      <c r="F176" s="4" t="s">
        <v>390</v>
      </c>
      <c r="G176" s="5" t="s">
        <v>391</v>
      </c>
    </row>
    <row r="177" spans="1:7" ht="14.4" thickBot="1" x14ac:dyDescent="0.3">
      <c r="A177" s="2" t="s">
        <v>12</v>
      </c>
      <c r="B177" s="3" t="s">
        <v>332</v>
      </c>
      <c r="C177" s="2" t="s">
        <v>333</v>
      </c>
      <c r="E177" s="12" t="s">
        <v>11</v>
      </c>
      <c r="F177" s="13" t="s">
        <v>298</v>
      </c>
      <c r="G177" s="12" t="s">
        <v>299</v>
      </c>
    </row>
    <row r="178" spans="1:7" ht="14.4" thickBot="1" x14ac:dyDescent="0.3">
      <c r="A178" s="5" t="s">
        <v>25</v>
      </c>
      <c r="B178" s="4" t="s">
        <v>300</v>
      </c>
      <c r="C178" s="5" t="s">
        <v>460</v>
      </c>
      <c r="E178" s="12" t="s">
        <v>435</v>
      </c>
      <c r="F178" s="13" t="s">
        <v>265</v>
      </c>
      <c r="G178" s="12" t="s">
        <v>266</v>
      </c>
    </row>
    <row r="179" spans="1:7" x14ac:dyDescent="0.25">
      <c r="A179" s="14" t="s">
        <v>78</v>
      </c>
      <c r="B179" s="6" t="s">
        <v>251</v>
      </c>
      <c r="C179" s="14" t="s">
        <v>252</v>
      </c>
      <c r="E179" s="14" t="s">
        <v>24</v>
      </c>
      <c r="F179" s="6" t="s">
        <v>410</v>
      </c>
      <c r="G179" s="14" t="s">
        <v>411</v>
      </c>
    </row>
    <row r="180" spans="1:7" x14ac:dyDescent="0.25">
      <c r="A180" s="2" t="s">
        <v>78</v>
      </c>
      <c r="B180" s="3" t="s">
        <v>253</v>
      </c>
      <c r="C180" s="2" t="s">
        <v>254</v>
      </c>
      <c r="E180" s="2" t="s">
        <v>24</v>
      </c>
      <c r="F180" s="3" t="s">
        <v>261</v>
      </c>
      <c r="G180" s="2" t="s">
        <v>262</v>
      </c>
    </row>
    <row r="181" spans="1:7" ht="14.4" thickBot="1" x14ac:dyDescent="0.3">
      <c r="A181" s="15" t="s">
        <v>78</v>
      </c>
      <c r="B181" s="8" t="s">
        <v>328</v>
      </c>
      <c r="C181" s="15" t="s">
        <v>329</v>
      </c>
      <c r="E181" s="2" t="s">
        <v>24</v>
      </c>
      <c r="F181" s="3" t="s">
        <v>392</v>
      </c>
      <c r="G181" s="2" t="s">
        <v>393</v>
      </c>
    </row>
    <row r="182" spans="1:7" ht="14.4" thickBot="1" x14ac:dyDescent="0.3">
      <c r="A182" s="13" t="s">
        <v>37</v>
      </c>
      <c r="B182" s="13" t="s">
        <v>326</v>
      </c>
      <c r="C182" s="12" t="s">
        <v>327</v>
      </c>
      <c r="E182" s="5" t="s">
        <v>24</v>
      </c>
      <c r="F182" s="4" t="s">
        <v>265</v>
      </c>
      <c r="G182" s="5" t="s">
        <v>266</v>
      </c>
    </row>
    <row r="183" spans="1:7" ht="14.4" thickBot="1" x14ac:dyDescent="0.3">
      <c r="A183" s="14" t="s">
        <v>26</v>
      </c>
      <c r="B183" s="6" t="s">
        <v>242</v>
      </c>
      <c r="C183" s="14" t="s">
        <v>243</v>
      </c>
      <c r="E183" s="12" t="s">
        <v>82</v>
      </c>
      <c r="F183" s="13" t="s">
        <v>322</v>
      </c>
      <c r="G183" s="12" t="s">
        <v>323</v>
      </c>
    </row>
    <row r="184" spans="1:7" ht="14.4" thickBot="1" x14ac:dyDescent="0.3">
      <c r="A184" s="15" t="s">
        <v>26</v>
      </c>
      <c r="B184" s="8" t="s">
        <v>244</v>
      </c>
      <c r="C184" s="15" t="s">
        <v>245</v>
      </c>
      <c r="E184" s="14" t="s">
        <v>20</v>
      </c>
      <c r="F184" s="6" t="s">
        <v>388</v>
      </c>
      <c r="G184" s="14" t="s">
        <v>389</v>
      </c>
    </row>
    <row r="185" spans="1:7" ht="14.4" thickBot="1" x14ac:dyDescent="0.3">
      <c r="A185" s="13" t="s">
        <v>295</v>
      </c>
      <c r="B185" s="13" t="s">
        <v>296</v>
      </c>
      <c r="C185" s="12" t="s">
        <v>297</v>
      </c>
      <c r="E185" s="5" t="s">
        <v>20</v>
      </c>
      <c r="F185" s="4" t="s">
        <v>436</v>
      </c>
      <c r="G185" s="5" t="s">
        <v>437</v>
      </c>
    </row>
    <row r="186" spans="1:7" ht="14.4" thickBot="1" x14ac:dyDescent="0.3">
      <c r="A186" s="18" t="s">
        <v>22</v>
      </c>
      <c r="B186" s="18" t="s">
        <v>388</v>
      </c>
      <c r="C186" s="19" t="s">
        <v>389</v>
      </c>
      <c r="E186" s="12" t="s">
        <v>21</v>
      </c>
      <c r="F186" s="13" t="s">
        <v>388</v>
      </c>
      <c r="G186" s="12" t="s">
        <v>389</v>
      </c>
    </row>
    <row r="187" spans="1:7" ht="14.4" thickBot="1" x14ac:dyDescent="0.3">
      <c r="A187" s="13" t="s">
        <v>70</v>
      </c>
      <c r="B187" s="13" t="s">
        <v>322</v>
      </c>
      <c r="C187" s="12" t="s">
        <v>323</v>
      </c>
      <c r="E187" s="12" t="s">
        <v>83</v>
      </c>
      <c r="F187" s="13" t="s">
        <v>322</v>
      </c>
      <c r="G187" s="12" t="s">
        <v>323</v>
      </c>
    </row>
    <row r="188" spans="1:7" x14ac:dyDescent="0.25">
      <c r="A188" s="14" t="s">
        <v>246</v>
      </c>
      <c r="B188" s="6" t="s">
        <v>242</v>
      </c>
      <c r="C188" s="14" t="s">
        <v>243</v>
      </c>
      <c r="E188" s="14" t="s">
        <v>69</v>
      </c>
      <c r="F188" s="6" t="s">
        <v>372</v>
      </c>
      <c r="G188" s="14" t="s">
        <v>373</v>
      </c>
    </row>
    <row r="189" spans="1:7" x14ac:dyDescent="0.25">
      <c r="A189" s="2" t="s">
        <v>246</v>
      </c>
      <c r="B189" s="3" t="s">
        <v>374</v>
      </c>
      <c r="C189" s="2" t="s">
        <v>375</v>
      </c>
      <c r="E189" s="2" t="s">
        <v>69</v>
      </c>
      <c r="F189" s="3" t="s">
        <v>314</v>
      </c>
      <c r="G189" s="2" t="s">
        <v>315</v>
      </c>
    </row>
    <row r="190" spans="1:7" ht="14.4" thickBot="1" x14ac:dyDescent="0.3">
      <c r="A190" s="15" t="s">
        <v>246</v>
      </c>
      <c r="B190" s="8" t="s">
        <v>386</v>
      </c>
      <c r="C190" s="15" t="s">
        <v>387</v>
      </c>
      <c r="E190" s="2" t="s">
        <v>69</v>
      </c>
      <c r="F190" s="3" t="s">
        <v>367</v>
      </c>
      <c r="G190" s="2" t="s">
        <v>368</v>
      </c>
    </row>
    <row r="191" spans="1:7" ht="14.4" thickBot="1" x14ac:dyDescent="0.3">
      <c r="A191" s="13" t="s">
        <v>62</v>
      </c>
      <c r="B191" s="13" t="s">
        <v>341</v>
      </c>
      <c r="C191" s="12" t="s">
        <v>342</v>
      </c>
      <c r="E191" s="5" t="s">
        <v>69</v>
      </c>
      <c r="F191" s="4" t="s">
        <v>363</v>
      </c>
      <c r="G191" s="5" t="s">
        <v>364</v>
      </c>
    </row>
    <row r="192" spans="1:7" ht="14.4" thickBot="1" x14ac:dyDescent="0.3">
      <c r="A192" s="14" t="s">
        <v>44</v>
      </c>
      <c r="B192" s="6" t="s">
        <v>203</v>
      </c>
      <c r="C192" s="14" t="s">
        <v>204</v>
      </c>
      <c r="E192" s="12" t="s">
        <v>438</v>
      </c>
      <c r="F192" s="13" t="s">
        <v>291</v>
      </c>
      <c r="G192" s="12" t="s">
        <v>292</v>
      </c>
    </row>
    <row r="193" spans="1:7" x14ac:dyDescent="0.25">
      <c r="A193" s="2" t="s">
        <v>44</v>
      </c>
      <c r="B193" s="3" t="s">
        <v>205</v>
      </c>
      <c r="C193" s="2" t="s">
        <v>461</v>
      </c>
      <c r="E193" s="14" t="s">
        <v>12</v>
      </c>
      <c r="F193" s="6" t="s">
        <v>298</v>
      </c>
      <c r="G193" s="14" t="s">
        <v>299</v>
      </c>
    </row>
    <row r="194" spans="1:7" x14ac:dyDescent="0.25">
      <c r="A194" s="2" t="s">
        <v>44</v>
      </c>
      <c r="B194" s="3" t="s">
        <v>189</v>
      </c>
      <c r="C194" s="2" t="s">
        <v>190</v>
      </c>
      <c r="E194" s="2" t="s">
        <v>12</v>
      </c>
      <c r="F194" s="3" t="s">
        <v>439</v>
      </c>
      <c r="G194" s="2" t="s">
        <v>440</v>
      </c>
    </row>
    <row r="195" spans="1:7" ht="14.4" thickBot="1" x14ac:dyDescent="0.3">
      <c r="A195" s="2" t="s">
        <v>44</v>
      </c>
      <c r="B195" s="3" t="s">
        <v>206</v>
      </c>
      <c r="C195" s="2" t="s">
        <v>207</v>
      </c>
      <c r="E195" s="5" t="s">
        <v>12</v>
      </c>
      <c r="F195" s="4" t="s">
        <v>332</v>
      </c>
      <c r="G195" s="5" t="s">
        <v>333</v>
      </c>
    </row>
    <row r="196" spans="1:7" ht="14.4" thickBot="1" x14ac:dyDescent="0.3">
      <c r="A196" s="2" t="s">
        <v>44</v>
      </c>
      <c r="B196" s="3" t="s">
        <v>208</v>
      </c>
      <c r="C196" s="2" t="s">
        <v>209</v>
      </c>
      <c r="E196" s="12" t="s">
        <v>25</v>
      </c>
      <c r="F196" s="13" t="s">
        <v>300</v>
      </c>
      <c r="G196" s="12" t="s">
        <v>460</v>
      </c>
    </row>
    <row r="197" spans="1:7" ht="14.4" thickBot="1" x14ac:dyDescent="0.3">
      <c r="A197" s="2" t="s">
        <v>44</v>
      </c>
      <c r="B197" s="3" t="s">
        <v>210</v>
      </c>
      <c r="C197" s="2" t="s">
        <v>211</v>
      </c>
      <c r="E197" s="12" t="s">
        <v>78</v>
      </c>
      <c r="F197" s="13" t="s">
        <v>251</v>
      </c>
      <c r="G197" s="12" t="s">
        <v>252</v>
      </c>
    </row>
    <row r="198" spans="1:7" ht="14.4" thickBot="1" x14ac:dyDescent="0.3">
      <c r="A198" s="2" t="s">
        <v>44</v>
      </c>
      <c r="B198" s="3" t="s">
        <v>212</v>
      </c>
      <c r="C198" s="2" t="s">
        <v>213</v>
      </c>
      <c r="E198" s="12" t="s">
        <v>37</v>
      </c>
      <c r="F198" s="13" t="s">
        <v>326</v>
      </c>
      <c r="G198" s="12" t="s">
        <v>327</v>
      </c>
    </row>
    <row r="199" spans="1:7" ht="14.4" thickBot="1" x14ac:dyDescent="0.3">
      <c r="A199" s="2" t="s">
        <v>44</v>
      </c>
      <c r="B199" s="3" t="s">
        <v>214</v>
      </c>
      <c r="C199" s="2" t="s">
        <v>215</v>
      </c>
      <c r="E199" s="12" t="s">
        <v>65</v>
      </c>
      <c r="F199" s="13" t="s">
        <v>336</v>
      </c>
      <c r="G199" s="12" t="s">
        <v>337</v>
      </c>
    </row>
    <row r="200" spans="1:7" ht="14.4" thickBot="1" x14ac:dyDescent="0.3">
      <c r="A200" s="5" t="s">
        <v>44</v>
      </c>
      <c r="B200" s="4" t="s">
        <v>216</v>
      </c>
      <c r="C200" s="5" t="s">
        <v>217</v>
      </c>
      <c r="E200" s="12" t="s">
        <v>295</v>
      </c>
      <c r="F200" s="13" t="s">
        <v>296</v>
      </c>
      <c r="G200" s="12" t="s">
        <v>297</v>
      </c>
    </row>
    <row r="201" spans="1:7" x14ac:dyDescent="0.25">
      <c r="A201" s="14" t="s">
        <v>53</v>
      </c>
      <c r="B201" s="6" t="s">
        <v>376</v>
      </c>
      <c r="C201" s="14" t="s">
        <v>377</v>
      </c>
      <c r="E201" s="14" t="s">
        <v>70</v>
      </c>
      <c r="F201" s="6" t="s">
        <v>439</v>
      </c>
      <c r="G201" s="14" t="s">
        <v>440</v>
      </c>
    </row>
    <row r="202" spans="1:7" ht="14.4" thickBot="1" x14ac:dyDescent="0.3">
      <c r="A202" s="2" t="s">
        <v>53</v>
      </c>
      <c r="B202" s="3" t="s">
        <v>353</v>
      </c>
      <c r="C202" s="2" t="s">
        <v>354</v>
      </c>
      <c r="E202" s="5" t="s">
        <v>70</v>
      </c>
      <c r="F202" s="4" t="s">
        <v>322</v>
      </c>
      <c r="G202" s="5" t="s">
        <v>323</v>
      </c>
    </row>
    <row r="203" spans="1:7" x14ac:dyDescent="0.25">
      <c r="A203" s="2" t="s">
        <v>53</v>
      </c>
      <c r="B203" s="3" t="s">
        <v>361</v>
      </c>
      <c r="C203" s="2" t="s">
        <v>362</v>
      </c>
      <c r="E203" s="14" t="s">
        <v>246</v>
      </c>
      <c r="F203" s="6" t="s">
        <v>386</v>
      </c>
      <c r="G203" s="14" t="s">
        <v>387</v>
      </c>
    </row>
    <row r="204" spans="1:7" ht="14.4" thickBot="1" x14ac:dyDescent="0.3">
      <c r="A204" s="5" t="s">
        <v>53</v>
      </c>
      <c r="B204" s="4" t="s">
        <v>351</v>
      </c>
      <c r="C204" s="5" t="s">
        <v>352</v>
      </c>
      <c r="E204" s="5" t="s">
        <v>246</v>
      </c>
      <c r="F204" s="4" t="s">
        <v>374</v>
      </c>
      <c r="G204" s="5" t="s">
        <v>375</v>
      </c>
    </row>
    <row r="205" spans="1:7" x14ac:dyDescent="0.25">
      <c r="A205" s="14" t="s">
        <v>54</v>
      </c>
      <c r="B205" s="6" t="s">
        <v>253</v>
      </c>
      <c r="C205" s="14" t="s">
        <v>254</v>
      </c>
      <c r="E205" s="14" t="s">
        <v>62</v>
      </c>
      <c r="F205" s="6" t="s">
        <v>421</v>
      </c>
      <c r="G205" s="14" t="s">
        <v>422</v>
      </c>
    </row>
    <row r="206" spans="1:7" ht="14.4" thickBot="1" x14ac:dyDescent="0.3">
      <c r="A206" s="2" t="s">
        <v>54</v>
      </c>
      <c r="B206" s="3" t="s">
        <v>376</v>
      </c>
      <c r="C206" s="2" t="s">
        <v>377</v>
      </c>
      <c r="E206" s="5" t="s">
        <v>62</v>
      </c>
      <c r="F206" s="4" t="s">
        <v>419</v>
      </c>
      <c r="G206" s="5" t="s">
        <v>420</v>
      </c>
    </row>
    <row r="207" spans="1:7" x14ac:dyDescent="0.25">
      <c r="A207" s="2" t="s">
        <v>54</v>
      </c>
      <c r="B207" s="3" t="s">
        <v>308</v>
      </c>
      <c r="C207" s="2" t="s">
        <v>309</v>
      </c>
      <c r="E207" s="14" t="s">
        <v>44</v>
      </c>
      <c r="F207" s="6" t="s">
        <v>203</v>
      </c>
      <c r="G207" s="14" t="s">
        <v>204</v>
      </c>
    </row>
    <row r="208" spans="1:7" x14ac:dyDescent="0.25">
      <c r="A208" s="2" t="s">
        <v>54</v>
      </c>
      <c r="B208" s="3" t="s">
        <v>365</v>
      </c>
      <c r="C208" s="2" t="s">
        <v>366</v>
      </c>
      <c r="E208" s="2" t="s">
        <v>44</v>
      </c>
      <c r="F208" s="3" t="s">
        <v>427</v>
      </c>
      <c r="G208" s="2" t="s">
        <v>428</v>
      </c>
    </row>
    <row r="209" spans="1:7" x14ac:dyDescent="0.25">
      <c r="A209" s="2" t="s">
        <v>54</v>
      </c>
      <c r="B209" s="3" t="s">
        <v>353</v>
      </c>
      <c r="C209" s="2" t="s">
        <v>354</v>
      </c>
      <c r="E209" s="2" t="s">
        <v>44</v>
      </c>
      <c r="F209" s="3" t="s">
        <v>205</v>
      </c>
      <c r="G209" s="2" t="s">
        <v>461</v>
      </c>
    </row>
    <row r="210" spans="1:7" x14ac:dyDescent="0.25">
      <c r="A210" s="2" t="s">
        <v>54</v>
      </c>
      <c r="B210" s="3" t="s">
        <v>328</v>
      </c>
      <c r="C210" s="2" t="s">
        <v>329</v>
      </c>
      <c r="E210" s="2" t="s">
        <v>44</v>
      </c>
      <c r="F210" s="3" t="s">
        <v>189</v>
      </c>
      <c r="G210" s="2" t="s">
        <v>190</v>
      </c>
    </row>
    <row r="211" spans="1:7" x14ac:dyDescent="0.25">
      <c r="A211" s="2" t="s">
        <v>54</v>
      </c>
      <c r="B211" s="3" t="s">
        <v>378</v>
      </c>
      <c r="C211" s="2" t="s">
        <v>379</v>
      </c>
      <c r="E211" s="2" t="s">
        <v>44</v>
      </c>
      <c r="F211" s="3" t="s">
        <v>441</v>
      </c>
      <c r="G211" s="2" t="s">
        <v>442</v>
      </c>
    </row>
    <row r="212" spans="1:7" x14ac:dyDescent="0.25">
      <c r="A212" s="2" t="s">
        <v>55</v>
      </c>
      <c r="B212" s="3" t="s">
        <v>376</v>
      </c>
      <c r="C212" s="2" t="s">
        <v>377</v>
      </c>
      <c r="E212" s="2" t="s">
        <v>44</v>
      </c>
      <c r="F212" s="3" t="s">
        <v>206</v>
      </c>
      <c r="G212" s="2" t="s">
        <v>207</v>
      </c>
    </row>
    <row r="213" spans="1:7" x14ac:dyDescent="0.25">
      <c r="A213" s="2" t="s">
        <v>55</v>
      </c>
      <c r="B213" s="3" t="s">
        <v>351</v>
      </c>
      <c r="C213" s="2" t="s">
        <v>352</v>
      </c>
      <c r="E213" s="2" t="s">
        <v>44</v>
      </c>
      <c r="F213" s="3" t="s">
        <v>443</v>
      </c>
      <c r="G213" s="2" t="s">
        <v>444</v>
      </c>
    </row>
    <row r="214" spans="1:7" ht="14.4" thickBot="1" x14ac:dyDescent="0.3">
      <c r="A214" s="5" t="s">
        <v>56</v>
      </c>
      <c r="B214" s="4" t="s">
        <v>376</v>
      </c>
      <c r="C214" s="5" t="s">
        <v>377</v>
      </c>
      <c r="E214" s="2" t="s">
        <v>44</v>
      </c>
      <c r="F214" s="3" t="s">
        <v>208</v>
      </c>
      <c r="G214" s="2" t="s">
        <v>209</v>
      </c>
    </row>
    <row r="215" spans="1:7" x14ac:dyDescent="0.25">
      <c r="A215" s="14" t="s">
        <v>56</v>
      </c>
      <c r="B215" s="6" t="s">
        <v>357</v>
      </c>
      <c r="C215" s="14" t="s">
        <v>358</v>
      </c>
      <c r="E215" s="2" t="s">
        <v>44</v>
      </c>
      <c r="F215" s="3" t="s">
        <v>445</v>
      </c>
      <c r="G215" s="2" t="s">
        <v>446</v>
      </c>
    </row>
    <row r="216" spans="1:7" x14ac:dyDescent="0.25">
      <c r="A216" s="2" t="s">
        <v>56</v>
      </c>
      <c r="B216" s="3" t="s">
        <v>308</v>
      </c>
      <c r="C216" s="2" t="s">
        <v>309</v>
      </c>
      <c r="E216" s="2" t="s">
        <v>44</v>
      </c>
      <c r="F216" s="3" t="s">
        <v>210</v>
      </c>
      <c r="G216" s="2" t="s">
        <v>211</v>
      </c>
    </row>
    <row r="217" spans="1:7" x14ac:dyDescent="0.25">
      <c r="A217" s="2" t="s">
        <v>56</v>
      </c>
      <c r="B217" s="3" t="s">
        <v>338</v>
      </c>
      <c r="C217" s="2" t="s">
        <v>339</v>
      </c>
      <c r="E217" s="2" t="s">
        <v>44</v>
      </c>
      <c r="F217" s="3" t="s">
        <v>212</v>
      </c>
      <c r="G217" s="2" t="s">
        <v>213</v>
      </c>
    </row>
    <row r="218" spans="1:7" x14ac:dyDescent="0.25">
      <c r="A218" s="2" t="s">
        <v>56</v>
      </c>
      <c r="B218" s="3" t="s">
        <v>365</v>
      </c>
      <c r="C218" s="2" t="s">
        <v>366</v>
      </c>
      <c r="E218" s="2" t="s">
        <v>44</v>
      </c>
      <c r="F218" s="3" t="s">
        <v>214</v>
      </c>
      <c r="G218" s="2" t="s">
        <v>215</v>
      </c>
    </row>
    <row r="219" spans="1:7" ht="14.4" thickBot="1" x14ac:dyDescent="0.3">
      <c r="A219" s="2" t="s">
        <v>56</v>
      </c>
      <c r="B219" s="3" t="s">
        <v>353</v>
      </c>
      <c r="C219" s="2" t="s">
        <v>354</v>
      </c>
      <c r="E219" s="5" t="s">
        <v>44</v>
      </c>
      <c r="F219" s="4" t="s">
        <v>216</v>
      </c>
      <c r="G219" s="5" t="s">
        <v>217</v>
      </c>
    </row>
    <row r="220" spans="1:7" x14ac:dyDescent="0.25">
      <c r="A220" s="2" t="s">
        <v>56</v>
      </c>
      <c r="B220" s="3" t="s">
        <v>369</v>
      </c>
      <c r="C220" s="2" t="s">
        <v>370</v>
      </c>
      <c r="E220" s="14" t="s">
        <v>53</v>
      </c>
      <c r="F220" s="6" t="s">
        <v>376</v>
      </c>
      <c r="G220" s="14" t="s">
        <v>377</v>
      </c>
    </row>
    <row r="221" spans="1:7" ht="14.4" thickBot="1" x14ac:dyDescent="0.3">
      <c r="A221" s="5" t="s">
        <v>56</v>
      </c>
      <c r="B221" s="4" t="s">
        <v>378</v>
      </c>
      <c r="C221" s="5" t="s">
        <v>379</v>
      </c>
      <c r="E221" s="2" t="s">
        <v>53</v>
      </c>
      <c r="F221" s="3" t="s">
        <v>353</v>
      </c>
      <c r="G221" s="2" t="s">
        <v>354</v>
      </c>
    </row>
    <row r="222" spans="1:7" x14ac:dyDescent="0.25">
      <c r="A222" s="14" t="s">
        <v>45</v>
      </c>
      <c r="B222" s="6" t="s">
        <v>203</v>
      </c>
      <c r="C222" s="14" t="s">
        <v>204</v>
      </c>
      <c r="E222" s="2" t="s">
        <v>53</v>
      </c>
      <c r="F222" s="3" t="s">
        <v>361</v>
      </c>
      <c r="G222" s="2" t="s">
        <v>362</v>
      </c>
    </row>
    <row r="223" spans="1:7" ht="14.4" thickBot="1" x14ac:dyDescent="0.3">
      <c r="A223" s="15" t="s">
        <v>45</v>
      </c>
      <c r="B223" s="8" t="s">
        <v>212</v>
      </c>
      <c r="C223" s="15" t="s">
        <v>213</v>
      </c>
      <c r="E223" s="2" t="s">
        <v>53</v>
      </c>
      <c r="F223" s="3" t="s">
        <v>421</v>
      </c>
      <c r="G223" s="2" t="s">
        <v>422</v>
      </c>
    </row>
    <row r="224" spans="1:7" ht="14.4" thickBot="1" x14ac:dyDescent="0.3">
      <c r="A224" s="13" t="s">
        <v>84</v>
      </c>
      <c r="B224" s="13" t="s">
        <v>380</v>
      </c>
      <c r="C224" s="12" t="s">
        <v>381</v>
      </c>
      <c r="E224" s="5" t="s">
        <v>53</v>
      </c>
      <c r="F224" s="4" t="s">
        <v>351</v>
      </c>
      <c r="G224" s="5" t="s">
        <v>352</v>
      </c>
    </row>
    <row r="225" spans="1:7" x14ac:dyDescent="0.25">
      <c r="A225" s="14" t="s">
        <v>67</v>
      </c>
      <c r="B225" s="6" t="s">
        <v>308</v>
      </c>
      <c r="C225" s="14" t="s">
        <v>309</v>
      </c>
      <c r="E225" s="14" t="s">
        <v>54</v>
      </c>
      <c r="F225" s="6" t="s">
        <v>376</v>
      </c>
      <c r="G225" s="14" t="s">
        <v>377</v>
      </c>
    </row>
    <row r="226" spans="1:7" x14ac:dyDescent="0.25">
      <c r="A226" s="2" t="s">
        <v>67</v>
      </c>
      <c r="B226" s="3" t="s">
        <v>380</v>
      </c>
      <c r="C226" s="2" t="s">
        <v>381</v>
      </c>
      <c r="E226" s="2" t="s">
        <v>54</v>
      </c>
      <c r="F226" s="3" t="s">
        <v>357</v>
      </c>
      <c r="G226" s="2" t="s">
        <v>358</v>
      </c>
    </row>
    <row r="227" spans="1:7" ht="14.4" thickBot="1" x14ac:dyDescent="0.3">
      <c r="A227" s="5" t="s">
        <v>67</v>
      </c>
      <c r="B227" s="4" t="s">
        <v>303</v>
      </c>
      <c r="C227" s="5" t="s">
        <v>304</v>
      </c>
      <c r="E227" s="2" t="s">
        <v>54</v>
      </c>
      <c r="F227" s="3" t="s">
        <v>308</v>
      </c>
      <c r="G227" s="2" t="s">
        <v>309</v>
      </c>
    </row>
    <row r="228" spans="1:7" x14ac:dyDescent="0.25">
      <c r="A228" s="14" t="s">
        <v>48</v>
      </c>
      <c r="B228" s="6" t="s">
        <v>178</v>
      </c>
      <c r="C228" s="14" t="s">
        <v>179</v>
      </c>
      <c r="E228" s="2" t="s">
        <v>54</v>
      </c>
      <c r="F228" s="3" t="s">
        <v>365</v>
      </c>
      <c r="G228" s="2" t="s">
        <v>366</v>
      </c>
    </row>
    <row r="229" spans="1:7" x14ac:dyDescent="0.25">
      <c r="A229" s="2" t="s">
        <v>290</v>
      </c>
      <c r="B229" s="3" t="s">
        <v>291</v>
      </c>
      <c r="C229" s="2" t="s">
        <v>292</v>
      </c>
      <c r="E229" s="2" t="s">
        <v>54</v>
      </c>
      <c r="F229" s="3" t="s">
        <v>353</v>
      </c>
      <c r="G229" s="2" t="s">
        <v>354</v>
      </c>
    </row>
    <row r="230" spans="1:7" ht="2.4" customHeight="1" thickBot="1" x14ac:dyDescent="0.3">
      <c r="A230" s="5"/>
      <c r="B230" s="4"/>
      <c r="C230" s="5"/>
      <c r="E230" s="2" t="s">
        <v>54</v>
      </c>
      <c r="F230" s="3" t="s">
        <v>447</v>
      </c>
      <c r="G230" s="2" t="s">
        <v>448</v>
      </c>
    </row>
    <row r="231" spans="1:7" s="7" customFormat="1" x14ac:dyDescent="0.25">
      <c r="A231" s="20" t="s">
        <v>504</v>
      </c>
      <c r="B231" s="21"/>
      <c r="C231" s="21"/>
      <c r="E231" s="2" t="s">
        <v>55</v>
      </c>
      <c r="F231" s="3" t="s">
        <v>376</v>
      </c>
      <c r="G231" s="2" t="s">
        <v>377</v>
      </c>
    </row>
    <row r="232" spans="1:7" s="7" customFormat="1" ht="14.4" thickBot="1" x14ac:dyDescent="0.3">
      <c r="A232" s="22">
        <v>41008</v>
      </c>
      <c r="B232" s="21"/>
      <c r="C232" s="21"/>
      <c r="E232" s="5" t="s">
        <v>55</v>
      </c>
      <c r="F232" s="4" t="s">
        <v>351</v>
      </c>
      <c r="G232" s="5" t="s">
        <v>352</v>
      </c>
    </row>
    <row r="233" spans="1:7" s="7" customFormat="1" x14ac:dyDescent="0.25">
      <c r="B233" s="21"/>
      <c r="C233" s="21"/>
      <c r="E233" s="14" t="s">
        <v>56</v>
      </c>
      <c r="F233" s="6" t="s">
        <v>376</v>
      </c>
      <c r="G233" s="14" t="s">
        <v>377</v>
      </c>
    </row>
    <row r="234" spans="1:7" s="7" customFormat="1" x14ac:dyDescent="0.25">
      <c r="B234" s="21"/>
      <c r="C234" s="21"/>
      <c r="E234" s="2" t="s">
        <v>56</v>
      </c>
      <c r="F234" s="3" t="s">
        <v>357</v>
      </c>
      <c r="G234" s="2" t="s">
        <v>358</v>
      </c>
    </row>
    <row r="235" spans="1:7" ht="14.4" customHeight="1" x14ac:dyDescent="0.25">
      <c r="E235" s="2" t="s">
        <v>56</v>
      </c>
      <c r="F235" s="3" t="s">
        <v>308</v>
      </c>
      <c r="G235" s="2" t="s">
        <v>309</v>
      </c>
    </row>
    <row r="236" spans="1:7" x14ac:dyDescent="0.25">
      <c r="E236" s="2" t="s">
        <v>56</v>
      </c>
      <c r="F236" s="3" t="s">
        <v>338</v>
      </c>
      <c r="G236" s="2" t="s">
        <v>339</v>
      </c>
    </row>
    <row r="237" spans="1:7" x14ac:dyDescent="0.25">
      <c r="E237" s="2" t="s">
        <v>56</v>
      </c>
      <c r="F237" s="3" t="s">
        <v>365</v>
      </c>
      <c r="G237" s="2" t="s">
        <v>366</v>
      </c>
    </row>
    <row r="238" spans="1:7" ht="16.2" customHeight="1" x14ac:dyDescent="0.25">
      <c r="E238" s="2" t="s">
        <v>56</v>
      </c>
      <c r="F238" s="3" t="s">
        <v>353</v>
      </c>
      <c r="G238" s="2" t="s">
        <v>354</v>
      </c>
    </row>
    <row r="239" spans="1:7" x14ac:dyDescent="0.25">
      <c r="E239" s="2" t="s">
        <v>56</v>
      </c>
      <c r="F239" s="3" t="s">
        <v>421</v>
      </c>
      <c r="G239" s="2" t="s">
        <v>422</v>
      </c>
    </row>
    <row r="240" spans="1:7" x14ac:dyDescent="0.25">
      <c r="E240" s="2" t="s">
        <v>56</v>
      </c>
      <c r="F240" s="3" t="s">
        <v>447</v>
      </c>
      <c r="G240" s="2" t="s">
        <v>448</v>
      </c>
    </row>
    <row r="241" spans="5:7" x14ac:dyDescent="0.25">
      <c r="E241" s="2" t="s">
        <v>56</v>
      </c>
      <c r="F241" s="3" t="s">
        <v>423</v>
      </c>
      <c r="G241" s="2" t="s">
        <v>424</v>
      </c>
    </row>
    <row r="242" spans="5:7" x14ac:dyDescent="0.25">
      <c r="E242" s="2" t="s">
        <v>56</v>
      </c>
      <c r="F242" s="3" t="s">
        <v>425</v>
      </c>
      <c r="G242" s="2" t="s">
        <v>426</v>
      </c>
    </row>
    <row r="243" spans="5:7" ht="14.4" thickBot="1" x14ac:dyDescent="0.3">
      <c r="E243" s="5" t="s">
        <v>56</v>
      </c>
      <c r="F243" s="4" t="s">
        <v>378</v>
      </c>
      <c r="G243" s="5" t="s">
        <v>379</v>
      </c>
    </row>
    <row r="244" spans="5:7" x14ac:dyDescent="0.25">
      <c r="E244" s="14" t="s">
        <v>45</v>
      </c>
      <c r="F244" s="6" t="s">
        <v>203</v>
      </c>
      <c r="G244" s="14" t="s">
        <v>204</v>
      </c>
    </row>
    <row r="245" spans="5:7" x14ac:dyDescent="0.25">
      <c r="E245" s="2" t="s">
        <v>45</v>
      </c>
      <c r="F245" s="3" t="s">
        <v>403</v>
      </c>
      <c r="G245" s="2" t="s">
        <v>466</v>
      </c>
    </row>
    <row r="246" spans="5:7" ht="14.4" thickBot="1" x14ac:dyDescent="0.3">
      <c r="E246" s="5" t="s">
        <v>45</v>
      </c>
      <c r="F246" s="4" t="s">
        <v>212</v>
      </c>
      <c r="G246" s="5" t="s">
        <v>213</v>
      </c>
    </row>
    <row r="247" spans="5:7" ht="14.4" thickBot="1" x14ac:dyDescent="0.3">
      <c r="E247" s="12" t="s">
        <v>67</v>
      </c>
      <c r="F247" s="13" t="s">
        <v>380</v>
      </c>
      <c r="G247" s="12" t="s">
        <v>381</v>
      </c>
    </row>
    <row r="248" spans="5:7" ht="14.4" thickBot="1" x14ac:dyDescent="0.3">
      <c r="E248" s="19" t="s">
        <v>51</v>
      </c>
      <c r="F248" s="18" t="s">
        <v>403</v>
      </c>
      <c r="G248" s="19" t="s">
        <v>465</v>
      </c>
    </row>
    <row r="249" spans="5:7" x14ac:dyDescent="0.25">
      <c r="E249" s="20" t="s">
        <v>504</v>
      </c>
      <c r="F249" s="1"/>
      <c r="G249" s="1"/>
    </row>
    <row r="250" spans="5:7" x14ac:dyDescent="0.25">
      <c r="E250" s="22"/>
      <c r="F250" s="1"/>
      <c r="G250" s="1"/>
    </row>
  </sheetData>
  <sortState ref="A240:AF484">
    <sortCondition ref="A240:A484"/>
  </sortState>
  <mergeCells count="2">
    <mergeCell ref="A1:C1"/>
    <mergeCell ref="E1:G1"/>
  </mergeCells>
  <hyperlinks>
    <hyperlink ref="A1:C1" location="CONTENIDO!A1" display="COSTOS DE OPERACIÓN I  SEMESTRE DE 2011 POR DESIGNADO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3" sqref="A3:D3"/>
    </sheetView>
  </sheetViews>
  <sheetFormatPr baseColWidth="10" defaultRowHeight="13.8" x14ac:dyDescent="0.25"/>
  <cols>
    <col min="1" max="1" width="50.26953125" bestFit="1" customWidth="1"/>
    <col min="2" max="2" width="15.26953125" customWidth="1"/>
    <col min="3" max="3" width="12.81640625" customWidth="1"/>
    <col min="4" max="4" width="16" customWidth="1"/>
  </cols>
  <sheetData>
    <row r="2" spans="1:6" ht="14.4" thickBot="1" x14ac:dyDescent="0.3"/>
    <row r="3" spans="1:6" ht="14.4" thickBot="1" x14ac:dyDescent="0.3">
      <c r="A3" s="177" t="s">
        <v>495</v>
      </c>
      <c r="B3" s="178"/>
      <c r="C3" s="178"/>
      <c r="D3" s="179"/>
    </row>
    <row r="4" spans="1:6" ht="15" thickBot="1" x14ac:dyDescent="0.35">
      <c r="A4" s="28"/>
      <c r="B4" s="28"/>
      <c r="C4" s="28"/>
      <c r="D4" s="28"/>
    </row>
    <row r="5" spans="1:6" ht="43.8" thickBot="1" x14ac:dyDescent="0.3">
      <c r="A5" s="29" t="s">
        <v>493</v>
      </c>
      <c r="B5" s="29" t="s">
        <v>483</v>
      </c>
      <c r="C5" s="29" t="s">
        <v>491</v>
      </c>
      <c r="D5" s="29" t="s">
        <v>484</v>
      </c>
    </row>
    <row r="6" spans="1:6" ht="28.05" customHeight="1" x14ac:dyDescent="0.3">
      <c r="A6" s="30" t="s">
        <v>488</v>
      </c>
      <c r="B6" s="31">
        <v>5</v>
      </c>
      <c r="C6" s="31">
        <v>6</v>
      </c>
      <c r="D6" s="32">
        <f>+B6/C6</f>
        <v>0.83333333333333337</v>
      </c>
    </row>
    <row r="7" spans="1:6" ht="28.05" customHeight="1" x14ac:dyDescent="0.3">
      <c r="A7" s="33" t="s">
        <v>487</v>
      </c>
      <c r="B7" s="34">
        <v>23</v>
      </c>
      <c r="C7" s="34">
        <v>26</v>
      </c>
      <c r="D7" s="35">
        <f t="shared" ref="D7:D14" si="0">+B7/C7</f>
        <v>0.88461538461538458</v>
      </c>
    </row>
    <row r="8" spans="1:6" ht="28.05" customHeight="1" x14ac:dyDescent="0.3">
      <c r="A8" s="33" t="s">
        <v>486</v>
      </c>
      <c r="B8" s="34">
        <v>9</v>
      </c>
      <c r="C8" s="34">
        <v>9</v>
      </c>
      <c r="D8" s="35">
        <f t="shared" si="0"/>
        <v>1</v>
      </c>
    </row>
    <row r="9" spans="1:6" ht="28.05" customHeight="1" x14ac:dyDescent="0.3">
      <c r="A9" s="33" t="s">
        <v>485</v>
      </c>
      <c r="B9" s="34">
        <v>10</v>
      </c>
      <c r="C9" s="34">
        <v>14</v>
      </c>
      <c r="D9" s="35">
        <f t="shared" si="0"/>
        <v>0.7142857142857143</v>
      </c>
    </row>
    <row r="10" spans="1:6" ht="28.05" customHeight="1" x14ac:dyDescent="0.3">
      <c r="A10" s="33" t="s">
        <v>489</v>
      </c>
      <c r="B10" s="34">
        <v>2</v>
      </c>
      <c r="C10" s="34">
        <v>3</v>
      </c>
      <c r="D10" s="35">
        <f t="shared" si="0"/>
        <v>0.66666666666666663</v>
      </c>
    </row>
    <row r="11" spans="1:6" ht="28.05" customHeight="1" x14ac:dyDescent="0.3">
      <c r="A11" s="33" t="s">
        <v>494</v>
      </c>
      <c r="B11" s="34">
        <v>0</v>
      </c>
      <c r="C11" s="34">
        <v>1</v>
      </c>
      <c r="D11" s="35">
        <f t="shared" si="0"/>
        <v>0</v>
      </c>
    </row>
    <row r="12" spans="1:6" ht="28.05" customHeight="1" x14ac:dyDescent="0.3">
      <c r="A12" s="33" t="s">
        <v>490</v>
      </c>
      <c r="B12" s="34">
        <v>52</v>
      </c>
      <c r="C12" s="34">
        <v>56</v>
      </c>
      <c r="D12" s="35">
        <f t="shared" si="0"/>
        <v>0.9285714285714286</v>
      </c>
    </row>
    <row r="13" spans="1:6" ht="28.05" customHeight="1" x14ac:dyDescent="0.3">
      <c r="A13" s="33" t="s">
        <v>492</v>
      </c>
      <c r="B13" s="34">
        <v>32</v>
      </c>
      <c r="C13" s="34">
        <v>43</v>
      </c>
      <c r="D13" s="35">
        <f t="shared" si="0"/>
        <v>0.7441860465116279</v>
      </c>
    </row>
    <row r="14" spans="1:6" ht="28.05" customHeight="1" thickBot="1" x14ac:dyDescent="0.35">
      <c r="A14" s="36" t="s">
        <v>497</v>
      </c>
      <c r="B14" s="37">
        <v>5</v>
      </c>
      <c r="C14" s="37">
        <v>6</v>
      </c>
      <c r="D14" s="38">
        <f t="shared" si="0"/>
        <v>0.83333333333333337</v>
      </c>
    </row>
    <row r="15" spans="1:6" ht="28.05" customHeight="1" thickBot="1" x14ac:dyDescent="0.35">
      <c r="A15" s="39" t="s">
        <v>496</v>
      </c>
      <c r="B15" s="40">
        <f>SUM(B6:B14)</f>
        <v>138</v>
      </c>
      <c r="C15" s="40">
        <f t="shared" ref="C15" si="1">SUM(C6:C14)</f>
        <v>164</v>
      </c>
      <c r="D15" s="41">
        <f>+B15/C15</f>
        <v>0.84146341463414631</v>
      </c>
      <c r="F15" s="28"/>
    </row>
    <row r="16" spans="1:6" ht="28.05" customHeight="1" x14ac:dyDescent="0.3">
      <c r="A16" s="42"/>
      <c r="B16" s="43"/>
      <c r="C16" s="43"/>
      <c r="D16" s="44"/>
    </row>
    <row r="17" spans="1:4" ht="15" thickBot="1" x14ac:dyDescent="0.35">
      <c r="A17" s="28"/>
      <c r="B17" s="28"/>
      <c r="C17" s="28"/>
      <c r="D17" s="28"/>
    </row>
    <row r="18" spans="1:4" ht="39.6" customHeight="1" thickBot="1" x14ac:dyDescent="0.3">
      <c r="A18" s="183" t="s">
        <v>499</v>
      </c>
      <c r="B18" s="184"/>
      <c r="C18" s="184"/>
      <c r="D18" s="185"/>
    </row>
  </sheetData>
  <mergeCells count="2">
    <mergeCell ref="A3:D3"/>
    <mergeCell ref="A18:D18"/>
  </mergeCells>
  <hyperlinks>
    <hyperlink ref="A3:D3" location="CONTENIDO!A1" display="COBERTURA  COSTOS DE OPERACIÓN  AÑO  DE 20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D1" workbookViewId="0">
      <selection activeCell="K22" sqref="K22"/>
    </sheetView>
  </sheetViews>
  <sheetFormatPr baseColWidth="10" defaultRowHeight="14.4" x14ac:dyDescent="0.3"/>
  <cols>
    <col min="1" max="1" width="23.54296875" style="28" customWidth="1"/>
    <col min="2" max="5" width="10.54296875" style="28" bestFit="1" customWidth="1"/>
    <col min="6" max="6" width="11.7265625" style="94" bestFit="1" customWidth="1"/>
    <col min="7" max="7" width="10.54296875" style="28" bestFit="1" customWidth="1"/>
    <col min="8" max="12" width="11.7265625" style="28" bestFit="1" customWidth="1"/>
    <col min="13" max="14" width="10.54296875" style="28" bestFit="1" customWidth="1"/>
    <col min="15" max="16" width="11.7265625" style="28" bestFit="1" customWidth="1"/>
    <col min="17" max="16384" width="10.90625" style="28"/>
  </cols>
  <sheetData>
    <row r="1" spans="1:17" x14ac:dyDescent="0.3">
      <c r="A1" s="189" t="s">
        <v>167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1"/>
    </row>
    <row r="2" spans="1:17" ht="15" thickBot="1" x14ac:dyDescent="0.35">
      <c r="A2" s="192" t="s">
        <v>117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4"/>
    </row>
    <row r="3" spans="1:17" ht="15" thickBot="1" x14ac:dyDescent="0.35">
      <c r="A3" s="45" t="s">
        <v>116</v>
      </c>
      <c r="B3" s="45" t="s">
        <v>11</v>
      </c>
      <c r="C3" s="45" t="s">
        <v>12</v>
      </c>
      <c r="D3" s="45" t="s">
        <v>14</v>
      </c>
      <c r="E3" s="45" t="s">
        <v>15</v>
      </c>
      <c r="F3" s="45" t="s">
        <v>10</v>
      </c>
      <c r="G3" s="46" t="s">
        <v>119</v>
      </c>
      <c r="H3" s="45" t="s">
        <v>16</v>
      </c>
      <c r="I3" s="45" t="s">
        <v>17</v>
      </c>
      <c r="J3" s="45" t="s">
        <v>3</v>
      </c>
      <c r="K3" s="46" t="s">
        <v>18</v>
      </c>
      <c r="L3" s="45" t="s">
        <v>4</v>
      </c>
      <c r="M3" s="45" t="s">
        <v>20</v>
      </c>
      <c r="N3" s="45" t="s">
        <v>21</v>
      </c>
      <c r="O3" s="47" t="s">
        <v>22</v>
      </c>
      <c r="P3" s="45" t="s">
        <v>24</v>
      </c>
    </row>
    <row r="4" spans="1:17" x14ac:dyDescent="0.3">
      <c r="A4" s="48" t="s">
        <v>99</v>
      </c>
      <c r="B4" s="49">
        <v>280853</v>
      </c>
      <c r="C4" s="49">
        <v>331394</v>
      </c>
      <c r="D4" s="49">
        <v>778979</v>
      </c>
      <c r="E4" s="49">
        <v>940755</v>
      </c>
      <c r="F4" s="49">
        <f>+(1030555+819990)/2</f>
        <v>925272.5</v>
      </c>
      <c r="G4" s="49">
        <v>388084</v>
      </c>
      <c r="H4" s="49">
        <v>626530</v>
      </c>
      <c r="I4" s="49">
        <v>741353</v>
      </c>
      <c r="J4" s="49">
        <v>631187</v>
      </c>
      <c r="K4" s="49">
        <v>1182416</v>
      </c>
      <c r="L4" s="49">
        <f>+(1948149+2545827)/2</f>
        <v>2246988</v>
      </c>
      <c r="M4" s="49">
        <v>731160</v>
      </c>
      <c r="N4" s="49">
        <v>689426</v>
      </c>
      <c r="O4" s="49">
        <v>1417780</v>
      </c>
      <c r="P4" s="50">
        <v>965923</v>
      </c>
      <c r="Q4" s="51"/>
    </row>
    <row r="5" spans="1:17" x14ac:dyDescent="0.3">
      <c r="A5" s="52" t="s">
        <v>120</v>
      </c>
      <c r="B5" s="53">
        <v>0</v>
      </c>
      <c r="C5" s="54">
        <v>0</v>
      </c>
      <c r="D5" s="54">
        <v>0</v>
      </c>
      <c r="E5" s="54">
        <v>0</v>
      </c>
      <c r="F5" s="54">
        <v>0</v>
      </c>
      <c r="G5" s="54">
        <v>52248</v>
      </c>
      <c r="H5" s="55">
        <v>261691</v>
      </c>
      <c r="I5" s="55">
        <v>439574</v>
      </c>
      <c r="J5" s="55">
        <v>334724</v>
      </c>
      <c r="K5" s="55">
        <v>843007</v>
      </c>
      <c r="L5" s="55">
        <f>+(527240+646248)/2</f>
        <v>586744</v>
      </c>
      <c r="M5" s="56">
        <v>238698</v>
      </c>
      <c r="N5" s="56">
        <v>157173</v>
      </c>
      <c r="O5" s="56">
        <v>282300</v>
      </c>
      <c r="P5" s="57">
        <v>0</v>
      </c>
      <c r="Q5" s="51"/>
    </row>
    <row r="6" spans="1:17" x14ac:dyDescent="0.3">
      <c r="A6" s="33" t="s">
        <v>100</v>
      </c>
      <c r="B6" s="56">
        <v>18768</v>
      </c>
      <c r="C6" s="56">
        <v>20035</v>
      </c>
      <c r="D6" s="54">
        <v>242701</v>
      </c>
      <c r="E6" s="54">
        <v>487814</v>
      </c>
      <c r="F6" s="58">
        <f>+(503869+163249)/2</f>
        <v>333559</v>
      </c>
      <c r="G6" s="54">
        <v>45770</v>
      </c>
      <c r="H6" s="54">
        <v>126644</v>
      </c>
      <c r="I6" s="54">
        <v>77989</v>
      </c>
      <c r="J6" s="54">
        <v>112945</v>
      </c>
      <c r="K6" s="54">
        <v>77744</v>
      </c>
      <c r="L6" s="54">
        <f>+(74812+93235)/2</f>
        <v>84023.5</v>
      </c>
      <c r="M6" s="54">
        <v>87118</v>
      </c>
      <c r="N6" s="56">
        <v>45774</v>
      </c>
      <c r="O6" s="54">
        <v>205516</v>
      </c>
      <c r="P6" s="57">
        <v>173249</v>
      </c>
    </row>
    <row r="7" spans="1:17" x14ac:dyDescent="0.3">
      <c r="A7" s="33" t="s">
        <v>101</v>
      </c>
      <c r="B7" s="56">
        <v>57327</v>
      </c>
      <c r="C7" s="56">
        <v>70488</v>
      </c>
      <c r="D7" s="56">
        <v>143150</v>
      </c>
      <c r="E7" s="56">
        <v>211653</v>
      </c>
      <c r="F7" s="58">
        <f>+(404102+495827)/2</f>
        <v>449964.5</v>
      </c>
      <c r="G7" s="54">
        <v>139013</v>
      </c>
      <c r="H7" s="56">
        <v>523707</v>
      </c>
      <c r="I7" s="56">
        <v>639361</v>
      </c>
      <c r="J7" s="56">
        <v>596932</v>
      </c>
      <c r="K7" s="56">
        <v>1694929</v>
      </c>
      <c r="L7" s="56">
        <f>+(1026390+1180058)/2</f>
        <v>1103224</v>
      </c>
      <c r="M7" s="56">
        <v>366315</v>
      </c>
      <c r="N7" s="56">
        <v>160916</v>
      </c>
      <c r="O7" s="56">
        <v>529798</v>
      </c>
      <c r="P7" s="57">
        <v>490609</v>
      </c>
    </row>
    <row r="8" spans="1:17" x14ac:dyDescent="0.3">
      <c r="A8" s="33" t="s">
        <v>102</v>
      </c>
      <c r="B8" s="56">
        <v>323748</v>
      </c>
      <c r="C8" s="56">
        <v>447020</v>
      </c>
      <c r="D8" s="56">
        <v>2078362</v>
      </c>
      <c r="E8" s="56">
        <v>2258839</v>
      </c>
      <c r="F8" s="58">
        <f>+(2207707+759758)/2</f>
        <v>1483732.5</v>
      </c>
      <c r="G8" s="54">
        <v>364203</v>
      </c>
      <c r="H8" s="56">
        <v>511866</v>
      </c>
      <c r="I8" s="56">
        <v>418443</v>
      </c>
      <c r="J8" s="56">
        <v>688129</v>
      </c>
      <c r="K8" s="56">
        <v>789952</v>
      </c>
      <c r="L8" s="56">
        <f>+(2558169+1588028)/2</f>
        <v>2073098.5</v>
      </c>
      <c r="M8" s="56">
        <v>917275</v>
      </c>
      <c r="N8" s="56">
        <v>1467318</v>
      </c>
      <c r="O8" s="56">
        <v>1260255</v>
      </c>
      <c r="P8" s="57">
        <v>908212</v>
      </c>
    </row>
    <row r="9" spans="1:17" x14ac:dyDescent="0.3">
      <c r="A9" s="33" t="s">
        <v>103</v>
      </c>
      <c r="B9" s="56">
        <v>0</v>
      </c>
      <c r="C9" s="56">
        <v>0</v>
      </c>
      <c r="D9" s="56">
        <v>413873</v>
      </c>
      <c r="E9" s="56">
        <v>479626</v>
      </c>
      <c r="F9" s="58">
        <f>+(826903+701380)/2</f>
        <v>764141.5</v>
      </c>
      <c r="G9" s="56">
        <v>74915</v>
      </c>
      <c r="H9" s="56">
        <v>174044</v>
      </c>
      <c r="I9" s="56">
        <v>453300</v>
      </c>
      <c r="J9" s="56">
        <v>362780</v>
      </c>
      <c r="K9" s="56">
        <v>715334</v>
      </c>
      <c r="L9" s="56">
        <f>+(632896+766640)/2</f>
        <v>699768</v>
      </c>
      <c r="M9" s="56">
        <v>181661</v>
      </c>
      <c r="N9" s="56">
        <v>75949</v>
      </c>
      <c r="O9" s="56">
        <v>154282</v>
      </c>
      <c r="P9" s="57">
        <v>928656</v>
      </c>
    </row>
    <row r="10" spans="1:17" x14ac:dyDescent="0.3">
      <c r="A10" s="33" t="s">
        <v>104</v>
      </c>
      <c r="B10" s="56">
        <v>588485</v>
      </c>
      <c r="C10" s="56">
        <v>747586</v>
      </c>
      <c r="D10" s="56">
        <v>823535</v>
      </c>
      <c r="E10" s="56">
        <v>1355360</v>
      </c>
      <c r="F10" s="58">
        <f>+(3539714+3821748)/2</f>
        <v>3680731</v>
      </c>
      <c r="G10" s="56">
        <v>874325</v>
      </c>
      <c r="H10" s="56">
        <v>3461080</v>
      </c>
      <c r="I10" s="56">
        <v>4064510</v>
      </c>
      <c r="J10" s="56">
        <v>4052571</v>
      </c>
      <c r="K10" s="56">
        <v>9096445</v>
      </c>
      <c r="L10" s="56">
        <f>+(6842373+7596181)/2</f>
        <v>7219277</v>
      </c>
      <c r="M10" s="56">
        <v>3357360</v>
      </c>
      <c r="N10" s="56">
        <v>949406</v>
      </c>
      <c r="O10" s="56">
        <v>4273374</v>
      </c>
      <c r="P10" s="57">
        <v>3243335</v>
      </c>
    </row>
    <row r="11" spans="1:17" ht="16.8" customHeight="1" x14ac:dyDescent="0.3">
      <c r="A11" s="33" t="s">
        <v>105</v>
      </c>
      <c r="B11" s="56">
        <v>174230</v>
      </c>
      <c r="C11" s="56">
        <v>151352</v>
      </c>
      <c r="D11" s="56">
        <v>0</v>
      </c>
      <c r="E11" s="56">
        <v>0</v>
      </c>
      <c r="F11" s="58">
        <v>0</v>
      </c>
      <c r="G11" s="56">
        <v>382700</v>
      </c>
      <c r="H11" s="56">
        <v>264677</v>
      </c>
      <c r="I11" s="56">
        <v>470373</v>
      </c>
      <c r="J11" s="56">
        <v>479614</v>
      </c>
      <c r="K11" s="56">
        <v>1122922</v>
      </c>
      <c r="L11" s="56">
        <f>+(759147+866952)/2</f>
        <v>813049.5</v>
      </c>
      <c r="M11" s="56">
        <v>242122</v>
      </c>
      <c r="N11" s="56">
        <v>89846</v>
      </c>
      <c r="O11" s="56">
        <v>360136</v>
      </c>
      <c r="P11" s="59">
        <v>5718</v>
      </c>
    </row>
    <row r="12" spans="1:17" ht="15" thickBot="1" x14ac:dyDescent="0.35">
      <c r="A12" s="60" t="s">
        <v>106</v>
      </c>
      <c r="B12" s="61">
        <v>163536</v>
      </c>
      <c r="C12" s="61">
        <v>261811</v>
      </c>
      <c r="D12" s="61">
        <v>553065</v>
      </c>
      <c r="E12" s="61">
        <v>1474826</v>
      </c>
      <c r="F12" s="62">
        <f>+(1779622+1450932)/2</f>
        <v>1615277</v>
      </c>
      <c r="G12" s="61">
        <v>127296</v>
      </c>
      <c r="H12" s="61">
        <v>1104990</v>
      </c>
      <c r="I12" s="61">
        <v>1586476</v>
      </c>
      <c r="J12" s="61">
        <v>2178520</v>
      </c>
      <c r="K12" s="61">
        <v>3145584</v>
      </c>
      <c r="L12" s="61">
        <f>+(5208119+1277730)/2</f>
        <v>3242924.5</v>
      </c>
      <c r="M12" s="61">
        <v>532292</v>
      </c>
      <c r="N12" s="61">
        <v>155730</v>
      </c>
      <c r="O12" s="61">
        <v>515705</v>
      </c>
      <c r="P12" s="63">
        <v>1322877</v>
      </c>
    </row>
    <row r="13" spans="1:17" ht="15" thickBot="1" x14ac:dyDescent="0.35">
      <c r="A13" s="64" t="s">
        <v>107</v>
      </c>
      <c r="B13" s="65">
        <f>SUM(B4:B12)</f>
        <v>1606947</v>
      </c>
      <c r="C13" s="65">
        <f t="shared" ref="C13" si="0">SUM(C4:C12)</f>
        <v>2029686</v>
      </c>
      <c r="D13" s="65">
        <f t="shared" ref="D13:F13" si="1">SUM(D4:D12)</f>
        <v>5033665</v>
      </c>
      <c r="E13" s="65">
        <f t="shared" si="1"/>
        <v>7208873</v>
      </c>
      <c r="F13" s="66">
        <f t="shared" si="1"/>
        <v>9252678</v>
      </c>
      <c r="G13" s="65">
        <f t="shared" ref="G13" si="2">SUM(G4:G12)</f>
        <v>2448554</v>
      </c>
      <c r="H13" s="65">
        <f t="shared" ref="H13:P13" si="3">SUM(H4:H12)</f>
        <v>7055229</v>
      </c>
      <c r="I13" s="65">
        <f t="shared" si="3"/>
        <v>8891379</v>
      </c>
      <c r="J13" s="65">
        <f t="shared" si="3"/>
        <v>9437402</v>
      </c>
      <c r="K13" s="65">
        <f t="shared" si="3"/>
        <v>18668333</v>
      </c>
      <c r="L13" s="65">
        <f t="shared" si="3"/>
        <v>18069097</v>
      </c>
      <c r="M13" s="65">
        <f t="shared" si="3"/>
        <v>6654001</v>
      </c>
      <c r="N13" s="65">
        <f t="shared" si="3"/>
        <v>3791538</v>
      </c>
      <c r="O13" s="65">
        <f t="shared" si="3"/>
        <v>8999146</v>
      </c>
      <c r="P13" s="67">
        <f t="shared" si="3"/>
        <v>8038579</v>
      </c>
    </row>
    <row r="14" spans="1:17" x14ac:dyDescent="0.3">
      <c r="A14" s="68" t="s">
        <v>108</v>
      </c>
      <c r="B14" s="69">
        <v>466928</v>
      </c>
      <c r="C14" s="69">
        <v>575230</v>
      </c>
      <c r="D14" s="69">
        <v>412045</v>
      </c>
      <c r="E14" s="69">
        <v>699957</v>
      </c>
      <c r="F14" s="70">
        <f>+(1295011+1001142)/2</f>
        <v>1148076.5</v>
      </c>
      <c r="G14" s="53">
        <v>813254</v>
      </c>
      <c r="H14" s="55">
        <v>1965149</v>
      </c>
      <c r="I14" s="55">
        <v>906283</v>
      </c>
      <c r="J14" s="55">
        <v>1620460</v>
      </c>
      <c r="K14" s="55">
        <v>494957</v>
      </c>
      <c r="L14" s="55">
        <f>+(738646+833381)/2</f>
        <v>786013.5</v>
      </c>
      <c r="M14" s="69">
        <v>1797795</v>
      </c>
      <c r="N14" s="69">
        <v>1798737</v>
      </c>
      <c r="O14" s="53">
        <v>2279309</v>
      </c>
      <c r="P14" s="71">
        <v>1001142</v>
      </c>
    </row>
    <row r="15" spans="1:17" x14ac:dyDescent="0.3">
      <c r="A15" s="33" t="s">
        <v>109</v>
      </c>
      <c r="B15" s="56">
        <v>69163</v>
      </c>
      <c r="C15" s="56">
        <v>85202</v>
      </c>
      <c r="D15" s="56">
        <v>571385</v>
      </c>
      <c r="E15" s="56">
        <v>670296</v>
      </c>
      <c r="F15" s="58">
        <f>+(1009434+1532057)/2</f>
        <v>1270745.5</v>
      </c>
      <c r="G15" s="56">
        <v>275398</v>
      </c>
      <c r="H15" s="56">
        <v>1081449</v>
      </c>
      <c r="I15" s="56">
        <v>1336204</v>
      </c>
      <c r="J15" s="56">
        <v>1443595</v>
      </c>
      <c r="K15" s="56">
        <v>1846705</v>
      </c>
      <c r="L15" s="56">
        <f>+(1673780+1977388)/2</f>
        <v>1825584</v>
      </c>
      <c r="M15" s="56">
        <v>1117546</v>
      </c>
      <c r="N15" s="56">
        <v>598515</v>
      </c>
      <c r="O15" s="56">
        <v>1640092</v>
      </c>
      <c r="P15" s="59">
        <v>1532057</v>
      </c>
    </row>
    <row r="16" spans="1:17" ht="15" thickBot="1" x14ac:dyDescent="0.35">
      <c r="A16" s="60" t="s">
        <v>110</v>
      </c>
      <c r="B16" s="61">
        <v>77915</v>
      </c>
      <c r="C16" s="61">
        <v>95985</v>
      </c>
      <c r="D16" s="61">
        <v>59294</v>
      </c>
      <c r="E16" s="61">
        <v>148785</v>
      </c>
      <c r="F16" s="62">
        <f>+(452937+141171)/2</f>
        <v>297054</v>
      </c>
      <c r="G16" s="61">
        <v>0</v>
      </c>
      <c r="H16" s="61">
        <v>263750</v>
      </c>
      <c r="I16" s="61">
        <v>468726</v>
      </c>
      <c r="J16" s="61">
        <v>477935</v>
      </c>
      <c r="K16" s="61">
        <v>1118990</v>
      </c>
      <c r="L16" s="61">
        <f>+(756489+863917)/2</f>
        <v>810203</v>
      </c>
      <c r="M16" s="61">
        <v>241274</v>
      </c>
      <c r="N16" s="61">
        <v>89532</v>
      </c>
      <c r="O16" s="61">
        <v>358875</v>
      </c>
      <c r="P16" s="63">
        <v>141171</v>
      </c>
    </row>
    <row r="17" spans="1:16" ht="15" thickBot="1" x14ac:dyDescent="0.35">
      <c r="A17" s="64" t="s">
        <v>111</v>
      </c>
      <c r="B17" s="65">
        <f>SUM(B14:B16)</f>
        <v>614006</v>
      </c>
      <c r="C17" s="65">
        <f t="shared" ref="C17" si="4">SUM(C14:C16)</f>
        <v>756417</v>
      </c>
      <c r="D17" s="65">
        <f t="shared" ref="D17:F17" si="5">SUM(D14:D16)</f>
        <v>1042724</v>
      </c>
      <c r="E17" s="65">
        <f t="shared" si="5"/>
        <v>1519038</v>
      </c>
      <c r="F17" s="66">
        <f t="shared" si="5"/>
        <v>2715876</v>
      </c>
      <c r="G17" s="65">
        <f t="shared" ref="G17" si="6">SUM(G14:G16)</f>
        <v>1088652</v>
      </c>
      <c r="H17" s="65">
        <f t="shared" ref="H17:P17" si="7">SUM(H14:H16)</f>
        <v>3310348</v>
      </c>
      <c r="I17" s="65">
        <f t="shared" si="7"/>
        <v>2711213</v>
      </c>
      <c r="J17" s="65">
        <f t="shared" si="7"/>
        <v>3541990</v>
      </c>
      <c r="K17" s="65">
        <f t="shared" si="7"/>
        <v>3460652</v>
      </c>
      <c r="L17" s="65">
        <f t="shared" si="7"/>
        <v>3421800.5</v>
      </c>
      <c r="M17" s="65">
        <f t="shared" si="7"/>
        <v>3156615</v>
      </c>
      <c r="N17" s="65">
        <f t="shared" si="7"/>
        <v>2486784</v>
      </c>
      <c r="O17" s="65">
        <f t="shared" si="7"/>
        <v>4278276</v>
      </c>
      <c r="P17" s="67">
        <f t="shared" si="7"/>
        <v>2674370</v>
      </c>
    </row>
    <row r="18" spans="1:16" ht="15" thickBot="1" x14ac:dyDescent="0.35">
      <c r="A18" s="72" t="s">
        <v>112</v>
      </c>
      <c r="B18" s="73">
        <f>+B13+B17</f>
        <v>2220953</v>
      </c>
      <c r="C18" s="73">
        <f t="shared" ref="C18" si="8">+C13+C17</f>
        <v>2786103</v>
      </c>
      <c r="D18" s="73">
        <f t="shared" ref="D18:F18" si="9">+D13+D17</f>
        <v>6076389</v>
      </c>
      <c r="E18" s="73">
        <f t="shared" si="9"/>
        <v>8727911</v>
      </c>
      <c r="F18" s="74">
        <f t="shared" si="9"/>
        <v>11968554</v>
      </c>
      <c r="G18" s="73">
        <f t="shared" ref="G18" si="10">+G13+G17</f>
        <v>3537206</v>
      </c>
      <c r="H18" s="73">
        <f t="shared" ref="H18:P18" si="11">+H13+H17</f>
        <v>10365577</v>
      </c>
      <c r="I18" s="73">
        <f t="shared" si="11"/>
        <v>11602592</v>
      </c>
      <c r="J18" s="73">
        <f t="shared" si="11"/>
        <v>12979392</v>
      </c>
      <c r="K18" s="73">
        <f t="shared" si="11"/>
        <v>22128985</v>
      </c>
      <c r="L18" s="73">
        <f t="shared" si="11"/>
        <v>21490897.5</v>
      </c>
      <c r="M18" s="73">
        <f t="shared" si="11"/>
        <v>9810616</v>
      </c>
      <c r="N18" s="73">
        <f t="shared" si="11"/>
        <v>6278322</v>
      </c>
      <c r="O18" s="73">
        <f t="shared" si="11"/>
        <v>13277422</v>
      </c>
      <c r="P18" s="75">
        <f t="shared" si="11"/>
        <v>10712949</v>
      </c>
    </row>
    <row r="19" spans="1:16" x14ac:dyDescent="0.3">
      <c r="A19" s="68" t="s">
        <v>113</v>
      </c>
      <c r="B19" s="69">
        <v>2981</v>
      </c>
      <c r="C19" s="69">
        <v>4033</v>
      </c>
      <c r="D19" s="69">
        <v>9881</v>
      </c>
      <c r="E19" s="69">
        <v>4596</v>
      </c>
      <c r="F19" s="70">
        <f>+(13900+3596)</f>
        <v>17496</v>
      </c>
      <c r="G19" s="69">
        <v>10335</v>
      </c>
      <c r="H19" s="69">
        <v>5708</v>
      </c>
      <c r="I19" s="69">
        <v>12055</v>
      </c>
      <c r="J19" s="69">
        <v>36165</v>
      </c>
      <c r="K19" s="69">
        <v>15850</v>
      </c>
      <c r="L19" s="69">
        <f>+(1071+1623)/2</f>
        <v>1347</v>
      </c>
      <c r="M19" s="69">
        <v>16462</v>
      </c>
      <c r="N19" s="69">
        <v>15626</v>
      </c>
      <c r="O19" s="69">
        <v>1301</v>
      </c>
      <c r="P19" s="76">
        <v>24065</v>
      </c>
    </row>
    <row r="20" spans="1:16" x14ac:dyDescent="0.3">
      <c r="A20" s="33" t="s">
        <v>114</v>
      </c>
      <c r="B20" s="56">
        <v>4469</v>
      </c>
      <c r="C20" s="56">
        <v>5840</v>
      </c>
      <c r="D20" s="56">
        <v>11064</v>
      </c>
      <c r="E20" s="56">
        <v>4189</v>
      </c>
      <c r="F20" s="58">
        <f>+(9747+1695)</f>
        <v>11442</v>
      </c>
      <c r="G20" s="56">
        <v>11220</v>
      </c>
      <c r="H20" s="56">
        <v>4621</v>
      </c>
      <c r="I20" s="56">
        <v>4282</v>
      </c>
      <c r="J20" s="56">
        <v>23685</v>
      </c>
      <c r="K20" s="56">
        <v>2434</v>
      </c>
      <c r="L20" s="56">
        <f>+(285+455)/2</f>
        <v>370</v>
      </c>
      <c r="M20" s="56">
        <v>13413</v>
      </c>
      <c r="N20" s="56">
        <v>13909</v>
      </c>
      <c r="O20" s="56">
        <v>1240</v>
      </c>
      <c r="P20" s="59">
        <v>17547</v>
      </c>
    </row>
    <row r="21" spans="1:16" ht="15" thickBot="1" x14ac:dyDescent="0.35">
      <c r="A21" s="77" t="s">
        <v>115</v>
      </c>
      <c r="B21" s="78">
        <v>3</v>
      </c>
      <c r="C21" s="78">
        <v>5</v>
      </c>
      <c r="D21" s="78">
        <v>11</v>
      </c>
      <c r="E21" s="78">
        <v>4</v>
      </c>
      <c r="F21" s="79">
        <f>9+2</f>
        <v>11</v>
      </c>
      <c r="G21" s="78">
        <v>6</v>
      </c>
      <c r="H21" s="78">
        <v>4</v>
      </c>
      <c r="I21" s="78">
        <v>6</v>
      </c>
      <c r="J21" s="78">
        <v>19</v>
      </c>
      <c r="K21" s="78">
        <v>5</v>
      </c>
      <c r="L21" s="78">
        <v>1</v>
      </c>
      <c r="M21" s="78">
        <v>13</v>
      </c>
      <c r="N21" s="78">
        <v>10</v>
      </c>
      <c r="O21" s="78">
        <v>3</v>
      </c>
      <c r="P21" s="80">
        <v>14</v>
      </c>
    </row>
    <row r="22" spans="1:16" x14ac:dyDescent="0.3">
      <c r="A22" s="43"/>
      <c r="B22" s="81"/>
      <c r="C22" s="81"/>
      <c r="D22" s="81"/>
      <c r="E22" s="81"/>
      <c r="F22" s="82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ht="15" thickBot="1" x14ac:dyDescent="0.35">
      <c r="A23" s="43"/>
      <c r="B23" s="81"/>
      <c r="C23" s="43"/>
      <c r="D23" s="43"/>
      <c r="E23" s="43"/>
      <c r="F23" s="83"/>
      <c r="G23" s="43"/>
      <c r="H23" s="43"/>
      <c r="I23" s="84"/>
      <c r="J23" s="84"/>
      <c r="K23" s="84"/>
      <c r="L23" s="43"/>
      <c r="M23" s="43"/>
      <c r="N23" s="43"/>
      <c r="O23" s="43"/>
    </row>
    <row r="24" spans="1:16" ht="15" thickBot="1" x14ac:dyDescent="0.35">
      <c r="A24" s="186" t="s">
        <v>118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8"/>
    </row>
    <row r="25" spans="1:16" x14ac:dyDescent="0.3">
      <c r="A25" s="48" t="s">
        <v>87</v>
      </c>
      <c r="B25" s="85">
        <f>+B4/B$18</f>
        <v>0.12645607538745754</v>
      </c>
      <c r="C25" s="85">
        <f t="shared" ref="C25" si="12">+C4/C$18</f>
        <v>0.11894535126662582</v>
      </c>
      <c r="D25" s="85">
        <f t="shared" ref="D25:F39" si="13">+D4/D$18</f>
        <v>0.12819768451295663</v>
      </c>
      <c r="E25" s="85">
        <f t="shared" si="13"/>
        <v>0.10778696070571755</v>
      </c>
      <c r="F25" s="86">
        <f t="shared" si="13"/>
        <v>7.730862892877452E-2</v>
      </c>
      <c r="G25" s="85">
        <f t="shared" ref="G25" si="14">+G4/G$18</f>
        <v>0.10971484273180583</v>
      </c>
      <c r="H25" s="85">
        <f t="shared" ref="H25:O25" si="15">+H4/H$18</f>
        <v>6.0443330844004148E-2</v>
      </c>
      <c r="I25" s="85">
        <f t="shared" si="15"/>
        <v>6.389546404803341E-2</v>
      </c>
      <c r="J25" s="85">
        <f t="shared" si="15"/>
        <v>4.8629935824420746E-2</v>
      </c>
      <c r="K25" s="85">
        <f t="shared" si="15"/>
        <v>5.3432907112549444E-2</v>
      </c>
      <c r="L25" s="85">
        <f t="shared" si="15"/>
        <v>0.10455533557870257</v>
      </c>
      <c r="M25" s="85">
        <f t="shared" si="15"/>
        <v>7.4527430285723145E-2</v>
      </c>
      <c r="N25" s="85">
        <f t="shared" si="15"/>
        <v>0.10981055129061555</v>
      </c>
      <c r="O25" s="85">
        <f t="shared" si="15"/>
        <v>0.10678127124377006</v>
      </c>
      <c r="P25" s="85">
        <f>+P4/P$18</f>
        <v>9.0164062201733619E-2</v>
      </c>
    </row>
    <row r="26" spans="1:16" x14ac:dyDescent="0.3">
      <c r="A26" s="87" t="s">
        <v>88</v>
      </c>
      <c r="B26" s="85">
        <f t="shared" ref="B26:P39" si="16">+B5/B$18</f>
        <v>0</v>
      </c>
      <c r="C26" s="85">
        <f t="shared" ref="C26" si="17">+C5/C$18</f>
        <v>0</v>
      </c>
      <c r="D26" s="85">
        <f t="shared" ref="D26:E26" si="18">+D5/D$18</f>
        <v>0</v>
      </c>
      <c r="E26" s="85">
        <f t="shared" si="18"/>
        <v>0</v>
      </c>
      <c r="F26" s="86">
        <f t="shared" si="13"/>
        <v>0</v>
      </c>
      <c r="G26" s="85">
        <f t="shared" ref="G26" si="19">+G5/G$18</f>
        <v>1.4770980259560794E-2</v>
      </c>
      <c r="H26" s="85">
        <f t="shared" si="16"/>
        <v>2.5246158511002328E-2</v>
      </c>
      <c r="I26" s="85">
        <f t="shared" si="16"/>
        <v>3.7885844818123397E-2</v>
      </c>
      <c r="J26" s="85">
        <f t="shared" si="16"/>
        <v>2.5788881328185482E-2</v>
      </c>
      <c r="K26" s="85">
        <f t="shared" si="16"/>
        <v>3.8095149867922097E-2</v>
      </c>
      <c r="L26" s="85">
        <f t="shared" si="16"/>
        <v>2.7301977500009015E-2</v>
      </c>
      <c r="M26" s="85">
        <f t="shared" si="16"/>
        <v>2.4330582299827045E-2</v>
      </c>
      <c r="N26" s="85">
        <f t="shared" si="16"/>
        <v>2.5034236855006799E-2</v>
      </c>
      <c r="O26" s="85">
        <f t="shared" si="16"/>
        <v>2.1261657571778617E-2</v>
      </c>
      <c r="P26" s="85">
        <f t="shared" si="16"/>
        <v>0</v>
      </c>
    </row>
    <row r="27" spans="1:16" x14ac:dyDescent="0.3">
      <c r="A27" s="87" t="s">
        <v>89</v>
      </c>
      <c r="B27" s="85">
        <f t="shared" si="16"/>
        <v>8.4504264610732426E-3</v>
      </c>
      <c r="C27" s="85">
        <f t="shared" ref="C27" si="20">+C6/C$18</f>
        <v>7.1910478542968441E-3</v>
      </c>
      <c r="D27" s="85">
        <f t="shared" ref="D27:E27" si="21">+D6/D$18</f>
        <v>3.9941649555352697E-2</v>
      </c>
      <c r="E27" s="85">
        <f t="shared" si="21"/>
        <v>5.5891266535600559E-2</v>
      </c>
      <c r="F27" s="86">
        <f t="shared" si="13"/>
        <v>2.7869615661173439E-2</v>
      </c>
      <c r="G27" s="85">
        <f t="shared" ref="G27" si="22">+G6/G$18</f>
        <v>1.293959130454941E-2</v>
      </c>
      <c r="H27" s="85">
        <f t="shared" si="16"/>
        <v>1.2217747260958074E-2</v>
      </c>
      <c r="I27" s="85">
        <f t="shared" si="16"/>
        <v>6.7216877056437046E-3</v>
      </c>
      <c r="J27" s="85">
        <f t="shared" si="16"/>
        <v>8.7018713973659161E-3</v>
      </c>
      <c r="K27" s="85">
        <f t="shared" si="16"/>
        <v>3.5132203307110563E-3</v>
      </c>
      <c r="L27" s="85">
        <f t="shared" si="16"/>
        <v>3.9097250359134608E-3</v>
      </c>
      <c r="M27" s="85">
        <f t="shared" si="16"/>
        <v>8.8799724706379295E-3</v>
      </c>
      <c r="N27" s="85">
        <f t="shared" si="16"/>
        <v>7.2908015867934137E-3</v>
      </c>
      <c r="O27" s="85">
        <f t="shared" si="16"/>
        <v>1.5478607217575822E-2</v>
      </c>
      <c r="P27" s="85">
        <f t="shared" si="16"/>
        <v>1.6171924275939331E-2</v>
      </c>
    </row>
    <row r="28" spans="1:16" x14ac:dyDescent="0.3">
      <c r="A28" s="87" t="s">
        <v>90</v>
      </c>
      <c r="B28" s="85">
        <f t="shared" si="16"/>
        <v>2.5811892462379887E-2</v>
      </c>
      <c r="C28" s="85">
        <f t="shared" ref="C28" si="23">+C7/C$18</f>
        <v>2.5299854312636684E-2</v>
      </c>
      <c r="D28" s="85">
        <f t="shared" ref="D28:E28" si="24">+D7/D$18</f>
        <v>2.3558399569217837E-2</v>
      </c>
      <c r="E28" s="85">
        <f t="shared" si="24"/>
        <v>2.4250132706440292E-2</v>
      </c>
      <c r="F28" s="86">
        <f t="shared" si="13"/>
        <v>3.7595560833831726E-2</v>
      </c>
      <c r="G28" s="85">
        <f t="shared" ref="G28" si="25">+G7/G$18</f>
        <v>3.9300227354584383E-2</v>
      </c>
      <c r="H28" s="85">
        <f t="shared" si="16"/>
        <v>5.0523670799995021E-2</v>
      </c>
      <c r="I28" s="85">
        <f t="shared" si="16"/>
        <v>5.5105014465733175E-2</v>
      </c>
      <c r="J28" s="85">
        <f t="shared" si="16"/>
        <v>4.5990752109189709E-2</v>
      </c>
      <c r="K28" s="85">
        <f t="shared" si="16"/>
        <v>7.6593165027677504E-2</v>
      </c>
      <c r="L28" s="85">
        <f t="shared" si="16"/>
        <v>5.1334477771344825E-2</v>
      </c>
      <c r="M28" s="85">
        <f t="shared" si="16"/>
        <v>3.7338633985878153E-2</v>
      </c>
      <c r="N28" s="85">
        <f t="shared" si="16"/>
        <v>2.5630415260638112E-2</v>
      </c>
      <c r="O28" s="85">
        <f t="shared" si="16"/>
        <v>3.9902173780422136E-2</v>
      </c>
      <c r="P28" s="85">
        <f t="shared" si="16"/>
        <v>4.5795886828174016E-2</v>
      </c>
    </row>
    <row r="29" spans="1:16" x14ac:dyDescent="0.3">
      <c r="A29" s="87" t="s">
        <v>91</v>
      </c>
      <c r="B29" s="85">
        <f t="shared" si="16"/>
        <v>0.14576985645351342</v>
      </c>
      <c r="C29" s="85">
        <f t="shared" ref="C29" si="26">+C8/C$18</f>
        <v>0.16044632951473797</v>
      </c>
      <c r="D29" s="85">
        <f t="shared" ref="D29:E29" si="27">+D8/D$18</f>
        <v>0.34203899717414404</v>
      </c>
      <c r="E29" s="85">
        <f t="shared" si="27"/>
        <v>0.25880637417132235</v>
      </c>
      <c r="F29" s="86">
        <f t="shared" si="13"/>
        <v>0.12396923638394412</v>
      </c>
      <c r="G29" s="85">
        <f t="shared" ref="G29" si="28">+G8/G$18</f>
        <v>0.10296346890738058</v>
      </c>
      <c r="H29" s="85">
        <f t="shared" si="16"/>
        <v>4.9381332076352334E-2</v>
      </c>
      <c r="I29" s="85">
        <f t="shared" si="16"/>
        <v>3.6064613838011371E-2</v>
      </c>
      <c r="J29" s="85">
        <f t="shared" si="16"/>
        <v>5.301704424983851E-2</v>
      </c>
      <c r="K29" s="85">
        <f t="shared" si="16"/>
        <v>3.5697615593304435E-2</v>
      </c>
      <c r="L29" s="85">
        <f t="shared" si="16"/>
        <v>9.6464026223195193E-2</v>
      </c>
      <c r="M29" s="85">
        <f t="shared" si="16"/>
        <v>9.349820643270515E-2</v>
      </c>
      <c r="N29" s="85">
        <f t="shared" si="16"/>
        <v>0.23371181025758156</v>
      </c>
      <c r="O29" s="85">
        <f t="shared" si="16"/>
        <v>9.4917145813396608E-2</v>
      </c>
      <c r="P29" s="85">
        <f t="shared" si="16"/>
        <v>8.4777030115610552E-2</v>
      </c>
    </row>
    <row r="30" spans="1:16" x14ac:dyDescent="0.3">
      <c r="A30" s="87" t="s">
        <v>92</v>
      </c>
      <c r="B30" s="85">
        <f t="shared" si="16"/>
        <v>0</v>
      </c>
      <c r="C30" s="85">
        <f t="shared" ref="C30" si="29">+C9/C$18</f>
        <v>0</v>
      </c>
      <c r="D30" s="85">
        <f t="shared" ref="D30:E30" si="30">+D9/D$18</f>
        <v>6.8111669611672324E-2</v>
      </c>
      <c r="E30" s="85">
        <f t="shared" si="30"/>
        <v>5.4953126813506691E-2</v>
      </c>
      <c r="F30" s="86">
        <f t="shared" si="13"/>
        <v>6.3845766163564951E-2</v>
      </c>
      <c r="G30" s="85">
        <f t="shared" ref="G30" si="31">+G9/G$18</f>
        <v>2.1179145348051542E-2</v>
      </c>
      <c r="H30" s="85">
        <f t="shared" si="16"/>
        <v>1.6790575189398527E-2</v>
      </c>
      <c r="I30" s="85">
        <f t="shared" si="16"/>
        <v>3.9068856338307853E-2</v>
      </c>
      <c r="J30" s="85">
        <f t="shared" si="16"/>
        <v>2.7950461778178823E-2</v>
      </c>
      <c r="K30" s="85">
        <f t="shared" si="16"/>
        <v>3.2325657954940093E-2</v>
      </c>
      <c r="L30" s="85">
        <f t="shared" si="16"/>
        <v>3.2561134312794525E-2</v>
      </c>
      <c r="M30" s="85">
        <f t="shared" si="16"/>
        <v>1.8516778151341364E-2</v>
      </c>
      <c r="N30" s="85">
        <f t="shared" si="16"/>
        <v>1.2097022102402521E-2</v>
      </c>
      <c r="O30" s="85">
        <f t="shared" si="16"/>
        <v>1.1619876207896382E-2</v>
      </c>
      <c r="P30" s="85">
        <f t="shared" si="16"/>
        <v>8.668537486736845E-2</v>
      </c>
    </row>
    <row r="31" spans="1:16" x14ac:dyDescent="0.3">
      <c r="A31" s="87" t="s">
        <v>93</v>
      </c>
      <c r="B31" s="85">
        <f t="shared" si="16"/>
        <v>0.26496958737983201</v>
      </c>
      <c r="C31" s="85">
        <f t="shared" ref="C31" si="32">+C10/C$18</f>
        <v>0.26832676322447518</v>
      </c>
      <c r="D31" s="85">
        <f t="shared" ref="D31:E31" si="33">+D10/D$18</f>
        <v>0.13553032895030256</v>
      </c>
      <c r="E31" s="85">
        <f t="shared" si="33"/>
        <v>0.1552903094451811</v>
      </c>
      <c r="F31" s="86">
        <f t="shared" si="13"/>
        <v>0.30753347480405735</v>
      </c>
      <c r="G31" s="85">
        <f t="shared" ref="G31" si="34">+G10/G$18</f>
        <v>0.24717955357985935</v>
      </c>
      <c r="H31" s="85">
        <f t="shared" si="16"/>
        <v>0.3339013351596346</v>
      </c>
      <c r="I31" s="85">
        <f t="shared" si="16"/>
        <v>0.35031051682244796</v>
      </c>
      <c r="J31" s="85">
        <f t="shared" si="16"/>
        <v>0.31223118925755539</v>
      </c>
      <c r="K31" s="85">
        <f t="shared" si="16"/>
        <v>0.41106471896474239</v>
      </c>
      <c r="L31" s="85">
        <f t="shared" si="16"/>
        <v>0.33592254581270975</v>
      </c>
      <c r="M31" s="85">
        <f t="shared" si="16"/>
        <v>0.3422170432519222</v>
      </c>
      <c r="N31" s="85">
        <f t="shared" si="16"/>
        <v>0.15121970488292891</v>
      </c>
      <c r="O31" s="85">
        <f t="shared" si="16"/>
        <v>0.32185269098172825</v>
      </c>
      <c r="P31" s="85">
        <f t="shared" si="16"/>
        <v>0.30274903763660221</v>
      </c>
    </row>
    <row r="32" spans="1:16" x14ac:dyDescent="0.3">
      <c r="A32" s="87" t="s">
        <v>94</v>
      </c>
      <c r="B32" s="85">
        <f t="shared" si="16"/>
        <v>7.8448305749829014E-2</v>
      </c>
      <c r="C32" s="85">
        <f t="shared" ref="C32" si="35">+C11/C$18</f>
        <v>5.4323906905092881E-2</v>
      </c>
      <c r="D32" s="85">
        <f t="shared" ref="D32:E32" si="36">+D11/D$18</f>
        <v>0</v>
      </c>
      <c r="E32" s="85">
        <f t="shared" si="36"/>
        <v>0</v>
      </c>
      <c r="F32" s="86">
        <f t="shared" si="13"/>
        <v>0</v>
      </c>
      <c r="G32" s="85">
        <f t="shared" ref="G32" si="37">+G11/G$18</f>
        <v>0.10819273743174698</v>
      </c>
      <c r="H32" s="85">
        <f t="shared" si="16"/>
        <v>2.553422737586147E-2</v>
      </c>
      <c r="I32" s="85">
        <f t="shared" si="16"/>
        <v>4.0540337883121287E-2</v>
      </c>
      <c r="J32" s="85">
        <f t="shared" si="16"/>
        <v>3.6951962002534477E-2</v>
      </c>
      <c r="K32" s="85">
        <f t="shared" si="16"/>
        <v>5.0744396997874058E-2</v>
      </c>
      <c r="L32" s="85">
        <f t="shared" si="16"/>
        <v>3.7832272942532996E-2</v>
      </c>
      <c r="M32" s="85">
        <f t="shared" si="16"/>
        <v>2.4679591984845803E-2</v>
      </c>
      <c r="N32" s="85">
        <f t="shared" si="16"/>
        <v>1.4310511630336895E-2</v>
      </c>
      <c r="O32" s="85">
        <f t="shared" si="16"/>
        <v>2.7123940174530868E-2</v>
      </c>
      <c r="P32" s="85">
        <f t="shared" si="16"/>
        <v>5.3374659022459639E-4</v>
      </c>
    </row>
    <row r="33" spans="1:16" x14ac:dyDescent="0.3">
      <c r="A33" s="87" t="s">
        <v>95</v>
      </c>
      <c r="B33" s="85">
        <f t="shared" si="16"/>
        <v>7.3633255633955327E-2</v>
      </c>
      <c r="C33" s="85">
        <f t="shared" ref="C33" si="38">+C12/C$18</f>
        <v>9.3970323423075167E-2</v>
      </c>
      <c r="D33" s="85">
        <f t="shared" ref="D33:E33" si="39">+D12/D$18</f>
        <v>9.101869547851528E-2</v>
      </c>
      <c r="E33" s="85">
        <f t="shared" si="39"/>
        <v>0.16897812088138844</v>
      </c>
      <c r="F33" s="86">
        <f t="shared" si="13"/>
        <v>0.13496007955514092</v>
      </c>
      <c r="G33" s="85">
        <f t="shared" ref="G33" si="40">+G12/G$18</f>
        <v>3.5987725905700714E-2</v>
      </c>
      <c r="H33" s="85">
        <f t="shared" si="16"/>
        <v>0.10660188043559948</v>
      </c>
      <c r="I33" s="85">
        <f t="shared" si="16"/>
        <v>0.13673461929886011</v>
      </c>
      <c r="J33" s="85">
        <f t="shared" si="16"/>
        <v>0.1678445338579804</v>
      </c>
      <c r="K33" s="85">
        <f t="shared" si="16"/>
        <v>0.14214768549031959</v>
      </c>
      <c r="L33" s="85">
        <f t="shared" si="16"/>
        <v>0.15089758350017723</v>
      </c>
      <c r="M33" s="85">
        <f t="shared" si="16"/>
        <v>5.425673576460438E-2</v>
      </c>
      <c r="N33" s="85">
        <f t="shared" si="16"/>
        <v>2.4804398372686207E-2</v>
      </c>
      <c r="O33" s="85">
        <f t="shared" si="16"/>
        <v>3.8840747849996783E-2</v>
      </c>
      <c r="P33" s="85">
        <f t="shared" si="16"/>
        <v>0.12348392585458962</v>
      </c>
    </row>
    <row r="34" spans="1:16" x14ac:dyDescent="0.3">
      <c r="A34" s="88" t="s">
        <v>107</v>
      </c>
      <c r="B34" s="89">
        <f t="shared" si="16"/>
        <v>0.72353939952804047</v>
      </c>
      <c r="C34" s="89">
        <f t="shared" ref="C34" si="41">+C13/C$18</f>
        <v>0.72850357650094055</v>
      </c>
      <c r="D34" s="89">
        <f t="shared" ref="D34:E34" si="42">+D13/D$18</f>
        <v>0.82839742485216139</v>
      </c>
      <c r="E34" s="89">
        <f t="shared" si="42"/>
        <v>0.82595629125915693</v>
      </c>
      <c r="F34" s="90">
        <f t="shared" si="13"/>
        <v>0.77308236233048699</v>
      </c>
      <c r="G34" s="89">
        <f t="shared" ref="G34" si="43">+G13/G$18</f>
        <v>0.69222827282323962</v>
      </c>
      <c r="H34" s="89">
        <f t="shared" si="16"/>
        <v>0.680640257652806</v>
      </c>
      <c r="I34" s="89">
        <f t="shared" si="16"/>
        <v>0.76632695521828231</v>
      </c>
      <c r="J34" s="89">
        <f t="shared" si="16"/>
        <v>0.72710663180524948</v>
      </c>
      <c r="K34" s="89">
        <f t="shared" si="16"/>
        <v>0.84361451734004067</v>
      </c>
      <c r="L34" s="89">
        <f t="shared" si="16"/>
        <v>0.84077907867737955</v>
      </c>
      <c r="M34" s="89">
        <f t="shared" si="16"/>
        <v>0.67824497462748512</v>
      </c>
      <c r="N34" s="89">
        <f t="shared" si="16"/>
        <v>0.60390945223898995</v>
      </c>
      <c r="O34" s="89">
        <f t="shared" si="16"/>
        <v>0.67777811084109552</v>
      </c>
      <c r="P34" s="89">
        <f t="shared" si="16"/>
        <v>0.75036098837024245</v>
      </c>
    </row>
    <row r="35" spans="1:16" x14ac:dyDescent="0.3">
      <c r="A35" s="87" t="s">
        <v>96</v>
      </c>
      <c r="B35" s="85">
        <f t="shared" si="16"/>
        <v>0.21023767724936096</v>
      </c>
      <c r="C35" s="85">
        <f t="shared" ref="C35" si="44">+C14/C$18</f>
        <v>0.2064640108423845</v>
      </c>
      <c r="D35" s="85">
        <f t="shared" ref="D35:E35" si="45">+D14/D$18</f>
        <v>6.781083304574477E-2</v>
      </c>
      <c r="E35" s="85">
        <f t="shared" si="45"/>
        <v>8.0197540969425565E-2</v>
      </c>
      <c r="F35" s="86">
        <f t="shared" si="13"/>
        <v>9.5924411587231001E-2</v>
      </c>
      <c r="G35" s="85">
        <f t="shared" ref="G35" si="46">+G14/G$18</f>
        <v>0.22991423174109735</v>
      </c>
      <c r="H35" s="85">
        <f t="shared" si="16"/>
        <v>0.18958413988917355</v>
      </c>
      <c r="I35" s="85">
        <f t="shared" si="16"/>
        <v>7.8110391195346698E-2</v>
      </c>
      <c r="J35" s="85">
        <f t="shared" si="16"/>
        <v>0.12484868320488356</v>
      </c>
      <c r="K35" s="85">
        <f t="shared" si="16"/>
        <v>2.2366909282102183E-2</v>
      </c>
      <c r="L35" s="85">
        <f t="shared" si="16"/>
        <v>3.6574251959463303E-2</v>
      </c>
      <c r="M35" s="85">
        <f t="shared" si="16"/>
        <v>0.1832499610625877</v>
      </c>
      <c r="N35" s="85">
        <f t="shared" si="16"/>
        <v>0.28649964114615339</v>
      </c>
      <c r="O35" s="85">
        <f t="shared" si="16"/>
        <v>0.17166803917206216</v>
      </c>
      <c r="P35" s="85">
        <f t="shared" si="16"/>
        <v>9.3451579018998407E-2</v>
      </c>
    </row>
    <row r="36" spans="1:16" x14ac:dyDescent="0.3">
      <c r="A36" s="87" t="s">
        <v>97</v>
      </c>
      <c r="B36" s="85">
        <f t="shared" si="16"/>
        <v>3.1141136259974885E-2</v>
      </c>
      <c r="C36" s="85">
        <f t="shared" ref="C36" si="47">+C15/C$18</f>
        <v>3.0581066098417754E-2</v>
      </c>
      <c r="D36" s="85">
        <f t="shared" ref="D36:E36" si="48">+D15/D$18</f>
        <v>9.4033643994813371E-2</v>
      </c>
      <c r="E36" s="85">
        <f t="shared" si="48"/>
        <v>7.6799133263389149E-2</v>
      </c>
      <c r="F36" s="86">
        <f t="shared" si="13"/>
        <v>0.1061736864787509</v>
      </c>
      <c r="G36" s="85">
        <f t="shared" ref="G36" si="49">+G15/G$18</f>
        <v>7.785749543566306E-2</v>
      </c>
      <c r="H36" s="85">
        <f t="shared" si="16"/>
        <v>0.10433080570430378</v>
      </c>
      <c r="I36" s="85">
        <f t="shared" si="16"/>
        <v>0.11516426674315532</v>
      </c>
      <c r="J36" s="85">
        <f t="shared" si="16"/>
        <v>0.1112220818972106</v>
      </c>
      <c r="K36" s="85">
        <f t="shared" si="16"/>
        <v>8.3451861890637996E-2</v>
      </c>
      <c r="L36" s="85">
        <f t="shared" si="16"/>
        <v>8.4946847845698392E-2</v>
      </c>
      <c r="M36" s="85">
        <f t="shared" si="16"/>
        <v>0.11391190930314671</v>
      </c>
      <c r="N36" s="85">
        <f t="shared" si="16"/>
        <v>9.5330408347963039E-2</v>
      </c>
      <c r="O36" s="85">
        <f t="shared" si="16"/>
        <v>0.12352488306841494</v>
      </c>
      <c r="P36" s="85">
        <f t="shared" si="16"/>
        <v>0.14300982857287942</v>
      </c>
    </row>
    <row r="37" spans="1:16" x14ac:dyDescent="0.3">
      <c r="A37" s="87" t="s">
        <v>98</v>
      </c>
      <c r="B37" s="85">
        <f t="shared" si="16"/>
        <v>3.50817869626237E-2</v>
      </c>
      <c r="C37" s="85">
        <f t="shared" ref="C37" si="50">+C16/C$18</f>
        <v>3.4451346558257177E-2</v>
      </c>
      <c r="D37" s="85">
        <f t="shared" ref="D37:E37" si="51">+D16/D$18</f>
        <v>9.7580981072804916E-3</v>
      </c>
      <c r="E37" s="85">
        <f t="shared" si="51"/>
        <v>1.7047034508028323E-2</v>
      </c>
      <c r="F37" s="86">
        <f t="shared" si="13"/>
        <v>2.4819539603531053E-2</v>
      </c>
      <c r="G37" s="85">
        <f t="shared" ref="G37" si="52">+G16/G$18</f>
        <v>0</v>
      </c>
      <c r="H37" s="85">
        <f t="shared" si="16"/>
        <v>2.5444796753716654E-2</v>
      </c>
      <c r="I37" s="85">
        <f t="shared" si="16"/>
        <v>4.0398386843215721E-2</v>
      </c>
      <c r="J37" s="85">
        <f t="shared" si="16"/>
        <v>3.682260309265642E-2</v>
      </c>
      <c r="K37" s="85">
        <f t="shared" si="16"/>
        <v>5.056671148721914E-2</v>
      </c>
      <c r="L37" s="85">
        <f t="shared" si="16"/>
        <v>3.769982151745873E-2</v>
      </c>
      <c r="M37" s="85">
        <f t="shared" si="16"/>
        <v>2.4593155006780412E-2</v>
      </c>
      <c r="N37" s="85">
        <f t="shared" si="16"/>
        <v>1.4260498266893606E-2</v>
      </c>
      <c r="O37" s="85">
        <f t="shared" si="16"/>
        <v>2.7028966918427388E-2</v>
      </c>
      <c r="P37" s="85">
        <f t="shared" si="16"/>
        <v>1.3177604037879766E-2</v>
      </c>
    </row>
    <row r="38" spans="1:16" x14ac:dyDescent="0.3">
      <c r="A38" s="88" t="s">
        <v>111</v>
      </c>
      <c r="B38" s="89">
        <f t="shared" si="16"/>
        <v>0.27646060047195958</v>
      </c>
      <c r="C38" s="89">
        <f t="shared" ref="C38" si="53">+C17/C$18</f>
        <v>0.27149642349905945</v>
      </c>
      <c r="D38" s="89">
        <f t="shared" ref="D38:E38" si="54">+D17/D$18</f>
        <v>0.17160257514783864</v>
      </c>
      <c r="E38" s="89">
        <f t="shared" si="54"/>
        <v>0.17404370874084302</v>
      </c>
      <c r="F38" s="90">
        <f t="shared" si="13"/>
        <v>0.22691763766951295</v>
      </c>
      <c r="G38" s="89">
        <f t="shared" ref="G38" si="55">+G17/G$18</f>
        <v>0.30777172717676043</v>
      </c>
      <c r="H38" s="89">
        <f t="shared" si="16"/>
        <v>0.319359742347194</v>
      </c>
      <c r="I38" s="89">
        <f t="shared" si="16"/>
        <v>0.23367304478171774</v>
      </c>
      <c r="J38" s="89">
        <f t="shared" si="16"/>
        <v>0.27289336819475057</v>
      </c>
      <c r="K38" s="89">
        <f t="shared" si="16"/>
        <v>0.15638548265995933</v>
      </c>
      <c r="L38" s="89">
        <f t="shared" si="16"/>
        <v>0.15922092132262042</v>
      </c>
      <c r="M38" s="89">
        <f t="shared" si="16"/>
        <v>0.32175502537251482</v>
      </c>
      <c r="N38" s="89">
        <f t="shared" si="16"/>
        <v>0.39609054776101005</v>
      </c>
      <c r="O38" s="89">
        <f t="shared" si="16"/>
        <v>0.32222188915890448</v>
      </c>
      <c r="P38" s="89">
        <f t="shared" si="16"/>
        <v>0.2496390116297576</v>
      </c>
    </row>
    <row r="39" spans="1:16" x14ac:dyDescent="0.3">
      <c r="A39" s="91" t="s">
        <v>112</v>
      </c>
      <c r="B39" s="92">
        <f t="shared" si="16"/>
        <v>1</v>
      </c>
      <c r="C39" s="92">
        <f t="shared" ref="C39" si="56">+C18/C$18</f>
        <v>1</v>
      </c>
      <c r="D39" s="92">
        <f t="shared" ref="D39:E39" si="57">+D18/D$18</f>
        <v>1</v>
      </c>
      <c r="E39" s="92">
        <f t="shared" si="57"/>
        <v>1</v>
      </c>
      <c r="F39" s="93">
        <f t="shared" si="13"/>
        <v>1</v>
      </c>
      <c r="G39" s="92">
        <f t="shared" ref="G39" si="58">+G18/G$18</f>
        <v>1</v>
      </c>
      <c r="H39" s="92">
        <f t="shared" si="16"/>
        <v>1</v>
      </c>
      <c r="I39" s="92">
        <f t="shared" si="16"/>
        <v>1</v>
      </c>
      <c r="J39" s="92">
        <f t="shared" si="16"/>
        <v>1</v>
      </c>
      <c r="K39" s="92">
        <f t="shared" si="16"/>
        <v>1</v>
      </c>
      <c r="L39" s="92">
        <f t="shared" si="16"/>
        <v>1</v>
      </c>
      <c r="M39" s="92">
        <f t="shared" si="16"/>
        <v>1</v>
      </c>
      <c r="N39" s="92">
        <f t="shared" si="16"/>
        <v>1</v>
      </c>
      <c r="O39" s="92">
        <f t="shared" si="16"/>
        <v>1</v>
      </c>
      <c r="P39" s="92">
        <f t="shared" si="16"/>
        <v>1</v>
      </c>
    </row>
    <row r="41" spans="1:16" x14ac:dyDescent="0.3">
      <c r="A41" s="28" t="s">
        <v>121</v>
      </c>
    </row>
    <row r="42" spans="1:16" x14ac:dyDescent="0.3">
      <c r="A42" s="28" t="s">
        <v>122</v>
      </c>
    </row>
    <row r="43" spans="1:16" x14ac:dyDescent="0.3">
      <c r="A43" s="28" t="s">
        <v>123</v>
      </c>
    </row>
    <row r="44" spans="1:16" x14ac:dyDescent="0.3">
      <c r="A44" s="28" t="s">
        <v>124</v>
      </c>
    </row>
    <row r="45" spans="1:16" x14ac:dyDescent="0.3">
      <c r="A45" s="95">
        <v>41008</v>
      </c>
    </row>
  </sheetData>
  <sheetProtection selectLockedCells="1" selectUnlockedCells="1"/>
  <mergeCells count="3">
    <mergeCell ref="A24:P24"/>
    <mergeCell ref="A1:P1"/>
    <mergeCell ref="A2:P2"/>
  </mergeCells>
  <hyperlinks>
    <hyperlink ref="A1:P1" location="CONTENIDO!A1" display="EMPRESAS DE TRANSPORTE AÉREO PASAJEROS REGULAR NACIONAL   -  COSTOS DE OPERACIÓN POR TIPO DE AERONAVE   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F22" sqref="F22"/>
    </sheetView>
  </sheetViews>
  <sheetFormatPr baseColWidth="10" defaultRowHeight="14.4" x14ac:dyDescent="0.3"/>
  <cols>
    <col min="1" max="1" width="24.6328125" style="96" customWidth="1"/>
    <col min="2" max="2" width="10.6328125" style="96" customWidth="1"/>
    <col min="3" max="3" width="9" style="97" customWidth="1"/>
    <col min="4" max="4" width="10" style="96" customWidth="1"/>
    <col min="5" max="5" width="9" style="96" customWidth="1"/>
    <col min="6" max="6" width="10.453125" style="96" customWidth="1"/>
    <col min="7" max="7" width="10" style="96" customWidth="1"/>
    <col min="8" max="8" width="11.7265625" style="96" customWidth="1"/>
    <col min="9" max="12" width="10" style="96" customWidth="1"/>
    <col min="13" max="13" width="9" style="96" customWidth="1"/>
    <col min="14" max="14" width="10" style="96" customWidth="1"/>
    <col min="15" max="16384" width="10.90625" style="28"/>
  </cols>
  <sheetData>
    <row r="1" spans="1:14" x14ac:dyDescent="0.3">
      <c r="A1" s="189" t="s">
        <v>167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15" thickBot="1" x14ac:dyDescent="0.35">
      <c r="A2" s="192" t="s">
        <v>125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15" thickBot="1" x14ac:dyDescent="0.35"/>
    <row r="4" spans="1:14" ht="15" thickBot="1" x14ac:dyDescent="0.35">
      <c r="A4" s="45" t="s">
        <v>0</v>
      </c>
      <c r="B4" s="45" t="s">
        <v>11</v>
      </c>
      <c r="C4" s="45" t="s">
        <v>12</v>
      </c>
      <c r="D4" s="45" t="s">
        <v>14</v>
      </c>
      <c r="E4" s="45" t="s">
        <v>15</v>
      </c>
      <c r="F4" s="47" t="s">
        <v>10</v>
      </c>
      <c r="G4" s="45" t="s">
        <v>25</v>
      </c>
      <c r="H4" s="45" t="s">
        <v>16</v>
      </c>
      <c r="I4" s="45" t="s">
        <v>17</v>
      </c>
      <c r="J4" s="45" t="s">
        <v>3</v>
      </c>
      <c r="K4" s="46" t="s">
        <v>18</v>
      </c>
      <c r="L4" s="45" t="s">
        <v>20</v>
      </c>
      <c r="M4" s="45" t="s">
        <v>21</v>
      </c>
      <c r="N4" s="98" t="s">
        <v>24</v>
      </c>
    </row>
    <row r="5" spans="1:14" x14ac:dyDescent="0.3">
      <c r="A5" s="48" t="s">
        <v>87</v>
      </c>
      <c r="B5" s="49">
        <v>269078</v>
      </c>
      <c r="C5" s="99">
        <v>381133</v>
      </c>
      <c r="D5" s="49">
        <v>879210</v>
      </c>
      <c r="E5" s="49">
        <v>879210</v>
      </c>
      <c r="F5" s="49">
        <f>+(843266+879210)/2</f>
        <v>861238</v>
      </c>
      <c r="G5" s="49">
        <v>401944</v>
      </c>
      <c r="H5" s="49">
        <v>649516</v>
      </c>
      <c r="I5" s="49">
        <v>705191</v>
      </c>
      <c r="J5" s="49">
        <v>625765</v>
      </c>
      <c r="K5" s="49">
        <v>1334504</v>
      </c>
      <c r="L5" s="49">
        <v>2121186</v>
      </c>
      <c r="M5" s="49">
        <v>740707</v>
      </c>
      <c r="N5" s="50">
        <v>1029907</v>
      </c>
    </row>
    <row r="6" spans="1:14" x14ac:dyDescent="0.3">
      <c r="A6" s="87" t="s">
        <v>88</v>
      </c>
      <c r="B6" s="54">
        <v>0</v>
      </c>
      <c r="C6" s="100">
        <v>0</v>
      </c>
      <c r="D6" s="54">
        <v>0</v>
      </c>
      <c r="E6" s="54">
        <v>0</v>
      </c>
      <c r="F6" s="54">
        <v>0</v>
      </c>
      <c r="G6" s="54">
        <v>54114</v>
      </c>
      <c r="H6" s="54">
        <v>259713</v>
      </c>
      <c r="I6" s="54">
        <v>402659</v>
      </c>
      <c r="J6" s="54">
        <v>316156</v>
      </c>
      <c r="K6" s="54">
        <v>877601</v>
      </c>
      <c r="L6" s="54">
        <v>237988</v>
      </c>
      <c r="M6" s="54">
        <v>157284</v>
      </c>
      <c r="N6" s="57">
        <v>0</v>
      </c>
    </row>
    <row r="7" spans="1:14" x14ac:dyDescent="0.3">
      <c r="A7" s="87" t="s">
        <v>89</v>
      </c>
      <c r="B7" s="54">
        <v>17275</v>
      </c>
      <c r="C7" s="100">
        <v>22350</v>
      </c>
      <c r="D7" s="54">
        <v>44681</v>
      </c>
      <c r="E7" s="54">
        <v>169976</v>
      </c>
      <c r="F7" s="54">
        <f>+(621599+264286)/2</f>
        <v>442942.5</v>
      </c>
      <c r="G7" s="54">
        <v>55175</v>
      </c>
      <c r="H7" s="54">
        <v>105835</v>
      </c>
      <c r="I7" s="54">
        <v>83249</v>
      </c>
      <c r="J7" s="54">
        <v>111320</v>
      </c>
      <c r="K7" s="54">
        <v>79609</v>
      </c>
      <c r="L7" s="54">
        <v>165021</v>
      </c>
      <c r="M7" s="54">
        <v>45792</v>
      </c>
      <c r="N7" s="57">
        <v>152857</v>
      </c>
    </row>
    <row r="8" spans="1:14" x14ac:dyDescent="0.3">
      <c r="A8" s="87" t="s">
        <v>90</v>
      </c>
      <c r="B8" s="54">
        <v>65457</v>
      </c>
      <c r="C8" s="100">
        <v>72774</v>
      </c>
      <c r="D8" s="54">
        <v>208925</v>
      </c>
      <c r="E8" s="54">
        <v>166115</v>
      </c>
      <c r="F8" s="54">
        <f>+(1515298+813622)/2</f>
        <v>1164460</v>
      </c>
      <c r="G8" s="54">
        <v>128056</v>
      </c>
      <c r="H8" s="54">
        <v>487953</v>
      </c>
      <c r="I8" s="54">
        <v>594508</v>
      </c>
      <c r="J8" s="54">
        <v>628947</v>
      </c>
      <c r="K8" s="54">
        <v>1861232</v>
      </c>
      <c r="L8" s="54">
        <v>304744</v>
      </c>
      <c r="M8" s="54">
        <v>171184</v>
      </c>
      <c r="N8" s="57">
        <v>667541</v>
      </c>
    </row>
    <row r="9" spans="1:14" x14ac:dyDescent="0.3">
      <c r="A9" s="87" t="s">
        <v>91</v>
      </c>
      <c r="B9" s="54">
        <v>315464</v>
      </c>
      <c r="C9" s="100">
        <v>480449</v>
      </c>
      <c r="D9" s="54">
        <v>4063328</v>
      </c>
      <c r="E9" s="54">
        <v>3286688</v>
      </c>
      <c r="F9" s="54">
        <f>+(2369495+763754)/2</f>
        <v>1566624.5</v>
      </c>
      <c r="G9" s="54">
        <v>396425</v>
      </c>
      <c r="H9" s="54">
        <v>620004</v>
      </c>
      <c r="I9" s="54">
        <v>562682</v>
      </c>
      <c r="J9" s="54">
        <v>514554</v>
      </c>
      <c r="K9" s="54">
        <v>982514</v>
      </c>
      <c r="L9" s="54">
        <v>1548275</v>
      </c>
      <c r="M9" s="54">
        <v>1419304</v>
      </c>
      <c r="N9" s="57">
        <v>645831</v>
      </c>
    </row>
    <row r="10" spans="1:14" x14ac:dyDescent="0.3">
      <c r="A10" s="87" t="s">
        <v>92</v>
      </c>
      <c r="B10" s="54">
        <v>0</v>
      </c>
      <c r="C10" s="100">
        <v>0</v>
      </c>
      <c r="D10" s="54">
        <v>164091</v>
      </c>
      <c r="E10" s="54">
        <v>96721</v>
      </c>
      <c r="F10" s="54">
        <f>+(242705+504267)/2</f>
        <v>373486</v>
      </c>
      <c r="G10" s="54">
        <v>68261</v>
      </c>
      <c r="H10" s="54">
        <v>245606</v>
      </c>
      <c r="I10" s="54">
        <v>485187</v>
      </c>
      <c r="J10" s="54">
        <v>404239</v>
      </c>
      <c r="K10" s="54">
        <v>954635</v>
      </c>
      <c r="L10" s="54">
        <v>155907</v>
      </c>
      <c r="M10" s="54">
        <v>93565</v>
      </c>
      <c r="N10" s="57">
        <v>481118</v>
      </c>
    </row>
    <row r="11" spans="1:14" x14ac:dyDescent="0.3">
      <c r="A11" s="87" t="s">
        <v>93</v>
      </c>
      <c r="B11" s="54">
        <v>590260</v>
      </c>
      <c r="C11" s="100">
        <v>760404</v>
      </c>
      <c r="D11" s="54">
        <v>1474707</v>
      </c>
      <c r="E11" s="54">
        <v>910768</v>
      </c>
      <c r="F11" s="54">
        <f>+(3734984+4135321)/2</f>
        <v>3935152.5</v>
      </c>
      <c r="G11" s="54">
        <v>897551</v>
      </c>
      <c r="H11" s="54">
        <v>3832359</v>
      </c>
      <c r="I11" s="54">
        <v>4309080</v>
      </c>
      <c r="J11" s="54">
        <v>4386312</v>
      </c>
      <c r="K11" s="54">
        <v>9876225</v>
      </c>
      <c r="L11" s="54">
        <v>3795063</v>
      </c>
      <c r="M11" s="54">
        <v>1051010</v>
      </c>
      <c r="N11" s="57">
        <v>3499954</v>
      </c>
    </row>
    <row r="12" spans="1:14" x14ac:dyDescent="0.3">
      <c r="A12" s="87" t="s">
        <v>94</v>
      </c>
      <c r="B12" s="54">
        <v>95564</v>
      </c>
      <c r="C12" s="100">
        <v>463164</v>
      </c>
      <c r="D12" s="54">
        <v>0</v>
      </c>
      <c r="E12" s="54">
        <v>0</v>
      </c>
      <c r="F12" s="54">
        <v>0</v>
      </c>
      <c r="G12" s="54">
        <v>118423</v>
      </c>
      <c r="H12" s="54">
        <v>269723</v>
      </c>
      <c r="I12" s="54">
        <v>436665</v>
      </c>
      <c r="J12" s="54">
        <v>456225</v>
      </c>
      <c r="K12" s="54">
        <v>1115586</v>
      </c>
      <c r="L12" s="54">
        <v>217553</v>
      </c>
      <c r="M12" s="54">
        <v>88139</v>
      </c>
      <c r="N12" s="57">
        <v>6224</v>
      </c>
    </row>
    <row r="13" spans="1:14" ht="15" thickBot="1" x14ac:dyDescent="0.35">
      <c r="A13" s="87" t="s">
        <v>95</v>
      </c>
      <c r="B13" s="54">
        <v>217485</v>
      </c>
      <c r="C13" s="100">
        <v>326903</v>
      </c>
      <c r="D13" s="54">
        <v>1627703</v>
      </c>
      <c r="E13" s="54">
        <v>621562</v>
      </c>
      <c r="F13" s="54">
        <f>+(1655844+1258917)/2</f>
        <v>1457380.5</v>
      </c>
      <c r="G13" s="54">
        <v>61111</v>
      </c>
      <c r="H13" s="54">
        <v>924632</v>
      </c>
      <c r="I13" s="54">
        <v>1587935</v>
      </c>
      <c r="J13" s="54">
        <v>2016077</v>
      </c>
      <c r="K13" s="54">
        <v>3381805</v>
      </c>
      <c r="L13" s="54">
        <v>2347337</v>
      </c>
      <c r="M13" s="54">
        <v>224170</v>
      </c>
      <c r="N13" s="57">
        <v>1413218</v>
      </c>
    </row>
    <row r="14" spans="1:14" ht="15" thickBot="1" x14ac:dyDescent="0.35">
      <c r="A14" s="64" t="s">
        <v>107</v>
      </c>
      <c r="B14" s="65">
        <f>SUM(B5:B13)</f>
        <v>1570583</v>
      </c>
      <c r="C14" s="65">
        <f t="shared" ref="C14" si="0">SUM(C5:C13)</f>
        <v>2507177</v>
      </c>
      <c r="D14" s="65">
        <f t="shared" ref="D14:F14" si="1">SUM(D5:D13)</f>
        <v>8462645</v>
      </c>
      <c r="E14" s="65">
        <f t="shared" si="1"/>
        <v>6131040</v>
      </c>
      <c r="F14" s="65">
        <f t="shared" si="1"/>
        <v>9801284</v>
      </c>
      <c r="G14" s="65">
        <f t="shared" ref="G14" si="2">SUM(G5:G13)</f>
        <v>2181060</v>
      </c>
      <c r="H14" s="65">
        <f t="shared" ref="H14:N14" si="3">SUM(H5:H13)</f>
        <v>7395341</v>
      </c>
      <c r="I14" s="65">
        <f t="shared" si="3"/>
        <v>9167156</v>
      </c>
      <c r="J14" s="65">
        <f t="shared" si="3"/>
        <v>9459595</v>
      </c>
      <c r="K14" s="65">
        <f t="shared" si="3"/>
        <v>20463711</v>
      </c>
      <c r="L14" s="65">
        <f t="shared" si="3"/>
        <v>10893074</v>
      </c>
      <c r="M14" s="65">
        <f t="shared" si="3"/>
        <v>3991155</v>
      </c>
      <c r="N14" s="67">
        <f t="shared" si="3"/>
        <v>7896650</v>
      </c>
    </row>
    <row r="15" spans="1:14" x14ac:dyDescent="0.3">
      <c r="A15" s="87" t="s">
        <v>96</v>
      </c>
      <c r="B15" s="54">
        <v>387312</v>
      </c>
      <c r="C15" s="100">
        <v>612006</v>
      </c>
      <c r="D15" s="54">
        <v>1082865</v>
      </c>
      <c r="E15" s="54">
        <v>734443</v>
      </c>
      <c r="F15" s="54">
        <f>+(3515775+1558941)/2</f>
        <v>2537358</v>
      </c>
      <c r="G15" s="54">
        <v>836996</v>
      </c>
      <c r="H15" s="54">
        <v>1913320</v>
      </c>
      <c r="I15" s="54">
        <v>1103268</v>
      </c>
      <c r="J15" s="54">
        <v>1713093</v>
      </c>
      <c r="K15" s="54">
        <v>589347</v>
      </c>
      <c r="L15" s="54">
        <v>2176568</v>
      </c>
      <c r="M15" s="54">
        <v>1951232</v>
      </c>
      <c r="N15" s="57">
        <v>1565757</v>
      </c>
    </row>
    <row r="16" spans="1:14" x14ac:dyDescent="0.3">
      <c r="A16" s="87" t="s">
        <v>97</v>
      </c>
      <c r="B16" s="54">
        <v>45744</v>
      </c>
      <c r="C16" s="100">
        <v>75115</v>
      </c>
      <c r="D16" s="54">
        <v>1096512</v>
      </c>
      <c r="E16" s="54">
        <v>662944</v>
      </c>
      <c r="F16" s="54">
        <f>+(461103+1757322)/2</f>
        <v>1109212.5</v>
      </c>
      <c r="G16" s="54">
        <v>272486</v>
      </c>
      <c r="H16" s="54">
        <v>1440616</v>
      </c>
      <c r="I16" s="54">
        <v>1387694</v>
      </c>
      <c r="J16" s="54">
        <v>1740128</v>
      </c>
      <c r="K16" s="54">
        <v>1804359</v>
      </c>
      <c r="L16" s="54">
        <v>1225529</v>
      </c>
      <c r="M16" s="54">
        <v>965804</v>
      </c>
      <c r="N16" s="57">
        <v>1757322</v>
      </c>
    </row>
    <row r="17" spans="1:14" ht="15" thickBot="1" x14ac:dyDescent="0.35">
      <c r="A17" s="87" t="s">
        <v>98</v>
      </c>
      <c r="B17" s="54">
        <v>85045</v>
      </c>
      <c r="C17" s="100">
        <v>129408</v>
      </c>
      <c r="D17" s="54">
        <v>145320</v>
      </c>
      <c r="E17" s="54">
        <v>58935</v>
      </c>
      <c r="F17" s="54">
        <v>195305</v>
      </c>
      <c r="G17" s="54">
        <v>265564</v>
      </c>
      <c r="H17" s="54">
        <v>206591</v>
      </c>
      <c r="I17" s="54">
        <v>334459</v>
      </c>
      <c r="J17" s="54">
        <v>349440</v>
      </c>
      <c r="K17" s="54">
        <v>854470</v>
      </c>
      <c r="L17" s="54">
        <v>166632</v>
      </c>
      <c r="M17" s="54">
        <v>67509</v>
      </c>
      <c r="N17" s="57">
        <v>195305</v>
      </c>
    </row>
    <row r="18" spans="1:14" ht="15" thickBot="1" x14ac:dyDescent="0.35">
      <c r="A18" s="64" t="s">
        <v>111</v>
      </c>
      <c r="B18" s="65">
        <f>SUM(B15:B17)</f>
        <v>518101</v>
      </c>
      <c r="C18" s="65">
        <f t="shared" ref="C18" si="4">SUM(C15:C17)</f>
        <v>816529</v>
      </c>
      <c r="D18" s="65">
        <f t="shared" ref="D18:F18" si="5">SUM(D15:D17)</f>
        <v>2324697</v>
      </c>
      <c r="E18" s="65">
        <f t="shared" si="5"/>
        <v>1456322</v>
      </c>
      <c r="F18" s="65">
        <f t="shared" si="5"/>
        <v>3841875.5</v>
      </c>
      <c r="G18" s="65">
        <f t="shared" ref="G18" si="6">SUM(G15:G17)</f>
        <v>1375046</v>
      </c>
      <c r="H18" s="65">
        <f t="shared" ref="H18:N18" si="7">SUM(H15:H17)</f>
        <v>3560527</v>
      </c>
      <c r="I18" s="65">
        <f t="shared" si="7"/>
        <v>2825421</v>
      </c>
      <c r="J18" s="65">
        <f t="shared" si="7"/>
        <v>3802661</v>
      </c>
      <c r="K18" s="65">
        <f t="shared" si="7"/>
        <v>3248176</v>
      </c>
      <c r="L18" s="65">
        <f t="shared" si="7"/>
        <v>3568729</v>
      </c>
      <c r="M18" s="65">
        <f t="shared" si="7"/>
        <v>2984545</v>
      </c>
      <c r="N18" s="67">
        <f t="shared" si="7"/>
        <v>3518384</v>
      </c>
    </row>
    <row r="19" spans="1:14" ht="15" thickBot="1" x14ac:dyDescent="0.35">
      <c r="A19" s="72" t="s">
        <v>112</v>
      </c>
      <c r="B19" s="73">
        <f>+B14+B18</f>
        <v>2088684</v>
      </c>
      <c r="C19" s="73">
        <f t="shared" ref="C19" si="8">+C14+C18</f>
        <v>3323706</v>
      </c>
      <c r="D19" s="73">
        <f t="shared" ref="D19:F19" si="9">+D14+D18</f>
        <v>10787342</v>
      </c>
      <c r="E19" s="73">
        <f t="shared" si="9"/>
        <v>7587362</v>
      </c>
      <c r="F19" s="73">
        <f t="shared" si="9"/>
        <v>13643159.5</v>
      </c>
      <c r="G19" s="73">
        <f t="shared" ref="G19" si="10">+G14+G18</f>
        <v>3556106</v>
      </c>
      <c r="H19" s="73">
        <f t="shared" ref="H19:N19" si="11">+H14+H18</f>
        <v>10955868</v>
      </c>
      <c r="I19" s="73">
        <f t="shared" si="11"/>
        <v>11992577</v>
      </c>
      <c r="J19" s="73">
        <f t="shared" si="11"/>
        <v>13262256</v>
      </c>
      <c r="K19" s="73">
        <f t="shared" si="11"/>
        <v>23711887</v>
      </c>
      <c r="L19" s="73">
        <f t="shared" si="11"/>
        <v>14461803</v>
      </c>
      <c r="M19" s="73">
        <f t="shared" si="11"/>
        <v>6975700</v>
      </c>
      <c r="N19" s="75">
        <f t="shared" si="11"/>
        <v>11415034</v>
      </c>
    </row>
    <row r="20" spans="1:14" x14ac:dyDescent="0.3">
      <c r="A20" s="87" t="s">
        <v>1</v>
      </c>
      <c r="B20" s="54">
        <v>3285</v>
      </c>
      <c r="C20" s="100">
        <v>4916</v>
      </c>
      <c r="D20" s="54">
        <v>4354</v>
      </c>
      <c r="E20" s="54">
        <v>8297</v>
      </c>
      <c r="F20" s="54">
        <f>14826+4136</f>
        <v>18962</v>
      </c>
      <c r="G20" s="54">
        <v>12595</v>
      </c>
      <c r="H20" s="54">
        <v>15787</v>
      </c>
      <c r="I20" s="54">
        <v>17756</v>
      </c>
      <c r="J20" s="54">
        <v>43140</v>
      </c>
      <c r="K20" s="54">
        <v>19141</v>
      </c>
      <c r="L20" s="54">
        <v>1953</v>
      </c>
      <c r="M20" s="54">
        <v>15009</v>
      </c>
      <c r="N20" s="57">
        <v>22998</v>
      </c>
    </row>
    <row r="21" spans="1:14" x14ac:dyDescent="0.3">
      <c r="A21" s="87" t="s">
        <v>2</v>
      </c>
      <c r="B21" s="54">
        <v>4491</v>
      </c>
      <c r="C21" s="100">
        <v>6745</v>
      </c>
      <c r="D21" s="54">
        <v>3889</v>
      </c>
      <c r="E21" s="54">
        <v>9033</v>
      </c>
      <c r="F21" s="54">
        <f>10599+1990</f>
        <v>12589</v>
      </c>
      <c r="G21" s="54">
        <v>13542</v>
      </c>
      <c r="H21" s="54">
        <v>12912</v>
      </c>
      <c r="I21" s="54">
        <v>7808</v>
      </c>
      <c r="J21" s="54">
        <v>29044</v>
      </c>
      <c r="K21" s="54">
        <v>3259</v>
      </c>
      <c r="L21" s="54">
        <v>1709</v>
      </c>
      <c r="M21" s="54">
        <v>13697</v>
      </c>
      <c r="N21" s="57">
        <v>16004</v>
      </c>
    </row>
    <row r="22" spans="1:14" ht="15" thickBot="1" x14ac:dyDescent="0.35">
      <c r="A22" s="101" t="s">
        <v>85</v>
      </c>
      <c r="B22" s="102">
        <v>3</v>
      </c>
      <c r="C22" s="103">
        <v>6</v>
      </c>
      <c r="D22" s="102">
        <v>4</v>
      </c>
      <c r="E22" s="102">
        <v>10</v>
      </c>
      <c r="F22" s="102">
        <f>9+2</f>
        <v>11</v>
      </c>
      <c r="G22" s="102">
        <v>8</v>
      </c>
      <c r="H22" s="102">
        <v>10</v>
      </c>
      <c r="I22" s="102">
        <v>10</v>
      </c>
      <c r="J22" s="102">
        <v>23</v>
      </c>
      <c r="K22" s="102">
        <v>7</v>
      </c>
      <c r="L22" s="102">
        <v>13</v>
      </c>
      <c r="M22" s="102">
        <v>10</v>
      </c>
      <c r="N22" s="104">
        <v>14</v>
      </c>
    </row>
    <row r="24" spans="1:14" ht="15" thickBot="1" x14ac:dyDescent="0.35"/>
    <row r="25" spans="1:14" ht="15" thickBot="1" x14ac:dyDescent="0.35">
      <c r="A25" s="186" t="s">
        <v>118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x14ac:dyDescent="0.3">
      <c r="A26" s="48" t="s">
        <v>87</v>
      </c>
      <c r="B26" s="85">
        <f>+B5/B$19</f>
        <v>0.12882657213824589</v>
      </c>
      <c r="C26" s="85">
        <f t="shared" ref="C26" si="12">+C5/C$19</f>
        <v>0.11467109305094975</v>
      </c>
      <c r="D26" s="85">
        <f t="shared" ref="D26:F40" si="13">+D5/D$19</f>
        <v>8.1503858874595797E-2</v>
      </c>
      <c r="E26" s="85">
        <f t="shared" si="13"/>
        <v>0.11587821959727242</v>
      </c>
      <c r="F26" s="85">
        <f t="shared" si="13"/>
        <v>6.312599365271658E-2</v>
      </c>
      <c r="G26" s="85">
        <f t="shared" ref="G26" si="14">+G5/G$19</f>
        <v>0.11302925165897755</v>
      </c>
      <c r="H26" s="85">
        <f t="shared" ref="H26:N26" si="15">+H5/H$19</f>
        <v>5.9284759546208481E-2</v>
      </c>
      <c r="I26" s="85">
        <f t="shared" si="15"/>
        <v>5.8802290783707287E-2</v>
      </c>
      <c r="J26" s="85">
        <f t="shared" si="15"/>
        <v>4.7183902949845036E-2</v>
      </c>
      <c r="K26" s="85">
        <f t="shared" si="15"/>
        <v>5.6279957811877224E-2</v>
      </c>
      <c r="L26" s="85">
        <f t="shared" si="15"/>
        <v>0.1466750722575878</v>
      </c>
      <c r="M26" s="85">
        <f t="shared" si="15"/>
        <v>0.10618389552302995</v>
      </c>
      <c r="N26" s="85">
        <f t="shared" si="15"/>
        <v>9.0223734769427757E-2</v>
      </c>
    </row>
    <row r="27" spans="1:14" x14ac:dyDescent="0.3">
      <c r="A27" s="87" t="s">
        <v>88</v>
      </c>
      <c r="B27" s="85">
        <f t="shared" ref="B27:N27" si="16">+B6/B$19</f>
        <v>0</v>
      </c>
      <c r="C27" s="85">
        <f t="shared" ref="C27" si="17">+C6/C$19</f>
        <v>0</v>
      </c>
      <c r="D27" s="85">
        <f t="shared" ref="D27:E27" si="18">+D6/D$19</f>
        <v>0</v>
      </c>
      <c r="E27" s="85">
        <f t="shared" si="18"/>
        <v>0</v>
      </c>
      <c r="F27" s="85">
        <f t="shared" si="13"/>
        <v>0</v>
      </c>
      <c r="G27" s="85">
        <f t="shared" ref="G27" si="19">+G6/G$19</f>
        <v>1.5217206686189894E-2</v>
      </c>
      <c r="H27" s="85">
        <f t="shared" si="16"/>
        <v>2.3705378706643781E-2</v>
      </c>
      <c r="I27" s="85">
        <f t="shared" si="16"/>
        <v>3.3575686026447858E-2</v>
      </c>
      <c r="J27" s="85">
        <f t="shared" si="16"/>
        <v>2.3838779767182898E-2</v>
      </c>
      <c r="K27" s="85">
        <f t="shared" si="16"/>
        <v>3.7011014770777208E-2</v>
      </c>
      <c r="L27" s="85">
        <f t="shared" si="16"/>
        <v>1.6456315993240954E-2</v>
      </c>
      <c r="M27" s="85">
        <f t="shared" si="16"/>
        <v>2.2547414596384593E-2</v>
      </c>
      <c r="N27" s="85">
        <f t="shared" si="16"/>
        <v>0</v>
      </c>
    </row>
    <row r="28" spans="1:14" x14ac:dyDescent="0.3">
      <c r="A28" s="87" t="s">
        <v>89</v>
      </c>
      <c r="B28" s="85">
        <f t="shared" ref="B28:N28" si="20">+B7/B$19</f>
        <v>8.2707580466935167E-3</v>
      </c>
      <c r="C28" s="85">
        <f t="shared" ref="C28" si="21">+C7/C$19</f>
        <v>6.7244214741014998E-3</v>
      </c>
      <c r="D28" s="85">
        <f t="shared" ref="D28:E28" si="22">+D7/D$19</f>
        <v>4.1419841885053793E-3</v>
      </c>
      <c r="E28" s="85">
        <f t="shared" si="22"/>
        <v>2.2402516184149381E-2</v>
      </c>
      <c r="F28" s="85">
        <f t="shared" si="13"/>
        <v>3.246627000146117E-2</v>
      </c>
      <c r="G28" s="85">
        <f t="shared" ref="G28" si="23">+G7/G$19</f>
        <v>1.5515566746323085E-2</v>
      </c>
      <c r="H28" s="85">
        <f t="shared" si="20"/>
        <v>9.6601200379559157E-3</v>
      </c>
      <c r="I28" s="85">
        <f t="shared" si="20"/>
        <v>6.941710693206306E-3</v>
      </c>
      <c r="J28" s="85">
        <f t="shared" si="20"/>
        <v>8.3937453778602979E-3</v>
      </c>
      <c r="K28" s="85">
        <f t="shared" si="20"/>
        <v>3.3573456216285107E-3</v>
      </c>
      <c r="L28" s="85">
        <f t="shared" si="20"/>
        <v>1.1410817862751967E-2</v>
      </c>
      <c r="M28" s="85">
        <f t="shared" si="20"/>
        <v>6.5645024872055847E-3</v>
      </c>
      <c r="N28" s="85">
        <f t="shared" si="20"/>
        <v>1.3390849295762062E-2</v>
      </c>
    </row>
    <row r="29" spans="1:14" x14ac:dyDescent="0.3">
      <c r="A29" s="87" t="s">
        <v>90</v>
      </c>
      <c r="B29" s="85">
        <f t="shared" ref="B29:N29" si="24">+B8/B$19</f>
        <v>3.1338871748909841E-2</v>
      </c>
      <c r="C29" s="85">
        <f t="shared" ref="C29" si="25">+C8/C$19</f>
        <v>2.1895438405201903E-2</v>
      </c>
      <c r="D29" s="85">
        <f t="shared" ref="D29:E29" si="26">+D8/D$19</f>
        <v>1.9367606960083401E-2</v>
      </c>
      <c r="E29" s="85">
        <f t="shared" si="26"/>
        <v>2.1893643666929297E-2</v>
      </c>
      <c r="F29" s="85">
        <f t="shared" si="13"/>
        <v>8.5351197426080078E-2</v>
      </c>
      <c r="G29" s="85">
        <f t="shared" ref="G29" si="27">+G8/G$19</f>
        <v>3.6010175174755757E-2</v>
      </c>
      <c r="H29" s="85">
        <f t="shared" si="24"/>
        <v>4.453805029414374E-2</v>
      </c>
      <c r="I29" s="85">
        <f t="shared" si="24"/>
        <v>4.9572998363904608E-2</v>
      </c>
      <c r="J29" s="85">
        <f t="shared" si="24"/>
        <v>4.7423831963430654E-2</v>
      </c>
      <c r="K29" s="85">
        <f t="shared" si="24"/>
        <v>7.8493626424586113E-2</v>
      </c>
      <c r="L29" s="85">
        <f t="shared" si="24"/>
        <v>2.1072337937392729E-2</v>
      </c>
      <c r="M29" s="85">
        <f t="shared" si="24"/>
        <v>2.4540046160241982E-2</v>
      </c>
      <c r="N29" s="85">
        <f t="shared" si="24"/>
        <v>5.8479107464769704E-2</v>
      </c>
    </row>
    <row r="30" spans="1:14" x14ac:dyDescent="0.3">
      <c r="A30" s="87" t="s">
        <v>91</v>
      </c>
      <c r="B30" s="85">
        <f t="shared" ref="B30:N30" si="28">+B9/B$19</f>
        <v>0.1510348142658248</v>
      </c>
      <c r="C30" s="85">
        <f t="shared" ref="C30" si="29">+C9/C$19</f>
        <v>0.14455219565148061</v>
      </c>
      <c r="D30" s="85">
        <f t="shared" ref="D30:E30" si="30">+D9/D$19</f>
        <v>0.37667555177169687</v>
      </c>
      <c r="E30" s="85">
        <f t="shared" si="30"/>
        <v>0.43317927891143193</v>
      </c>
      <c r="F30" s="85">
        <f t="shared" si="13"/>
        <v>0.11482857031760128</v>
      </c>
      <c r="G30" s="85">
        <f t="shared" ref="G30" si="31">+G9/G$19</f>
        <v>0.11147727317464665</v>
      </c>
      <c r="H30" s="85">
        <f t="shared" si="28"/>
        <v>5.6591043265581516E-2</v>
      </c>
      <c r="I30" s="85">
        <f t="shared" si="28"/>
        <v>4.6919190095673351E-2</v>
      </c>
      <c r="J30" s="85">
        <f t="shared" si="28"/>
        <v>3.8798376384832266E-2</v>
      </c>
      <c r="K30" s="85">
        <f t="shared" si="28"/>
        <v>4.1435504479251269E-2</v>
      </c>
      <c r="L30" s="85">
        <f t="shared" si="28"/>
        <v>0.10705961075531177</v>
      </c>
      <c r="M30" s="85">
        <f t="shared" si="28"/>
        <v>0.20346402511575898</v>
      </c>
      <c r="N30" s="85">
        <f t="shared" si="28"/>
        <v>5.657722964294281E-2</v>
      </c>
    </row>
    <row r="31" spans="1:14" x14ac:dyDescent="0.3">
      <c r="A31" s="87" t="s">
        <v>92</v>
      </c>
      <c r="B31" s="85">
        <f t="shared" ref="B31:N31" si="32">+B10/B$19</f>
        <v>0</v>
      </c>
      <c r="C31" s="85">
        <f t="shared" ref="C31" si="33">+C10/C$19</f>
        <v>0</v>
      </c>
      <c r="D31" s="85">
        <f t="shared" ref="D31:E31" si="34">+D10/D$19</f>
        <v>1.5211439481570159E-2</v>
      </c>
      <c r="E31" s="85">
        <f t="shared" si="34"/>
        <v>1.2747645360798655E-2</v>
      </c>
      <c r="F31" s="85">
        <f t="shared" si="13"/>
        <v>2.7375330472388014E-2</v>
      </c>
      <c r="G31" s="85">
        <f t="shared" ref="G31" si="35">+G10/G$19</f>
        <v>1.9195434556787676E-2</v>
      </c>
      <c r="H31" s="85">
        <f t="shared" si="32"/>
        <v>2.2417758227828228E-2</v>
      </c>
      <c r="I31" s="85">
        <f t="shared" si="32"/>
        <v>4.0457276196767381E-2</v>
      </c>
      <c r="J31" s="85">
        <f t="shared" si="32"/>
        <v>3.0480409969465227E-2</v>
      </c>
      <c r="K31" s="85">
        <f t="shared" si="32"/>
        <v>4.0259765070574098E-2</v>
      </c>
      <c r="L31" s="85">
        <f t="shared" si="32"/>
        <v>1.0780605986680914E-2</v>
      </c>
      <c r="M31" s="85">
        <f t="shared" si="32"/>
        <v>1.341299081095804E-2</v>
      </c>
      <c r="N31" s="85">
        <f t="shared" si="32"/>
        <v>4.2147750063644136E-2</v>
      </c>
    </row>
    <row r="32" spans="1:14" x14ac:dyDescent="0.3">
      <c r="A32" s="87" t="s">
        <v>93</v>
      </c>
      <c r="B32" s="85">
        <f t="shared" ref="B32:N32" si="36">+B11/B$19</f>
        <v>0.28259899534826716</v>
      </c>
      <c r="C32" s="85">
        <f t="shared" ref="C32" si="37">+C11/C$19</f>
        <v>0.22878196808020926</v>
      </c>
      <c r="D32" s="85">
        <f t="shared" ref="D32:E32" si="38">+D11/D$19</f>
        <v>0.1367071703112778</v>
      </c>
      <c r="E32" s="85">
        <f t="shared" si="38"/>
        <v>0.12003750447125101</v>
      </c>
      <c r="F32" s="85">
        <f t="shared" si="13"/>
        <v>0.28843410501797623</v>
      </c>
      <c r="G32" s="85">
        <f t="shared" ref="G32" si="39">+G11/G$19</f>
        <v>0.25239714451706446</v>
      </c>
      <c r="H32" s="85">
        <f t="shared" si="36"/>
        <v>0.34979966899929793</v>
      </c>
      <c r="I32" s="85">
        <f t="shared" si="36"/>
        <v>0.35931226457833043</v>
      </c>
      <c r="J32" s="85">
        <f t="shared" si="36"/>
        <v>0.33073649008132555</v>
      </c>
      <c r="K32" s="85">
        <f t="shared" si="36"/>
        <v>0.41650944945883051</v>
      </c>
      <c r="L32" s="85">
        <f t="shared" si="36"/>
        <v>0.26241976882135648</v>
      </c>
      <c r="M32" s="85">
        <f t="shared" si="36"/>
        <v>0.15066731654170906</v>
      </c>
      <c r="N32" s="85">
        <f t="shared" si="36"/>
        <v>0.30660916121669018</v>
      </c>
    </row>
    <row r="33" spans="1:14" x14ac:dyDescent="0.3">
      <c r="A33" s="87" t="s">
        <v>94</v>
      </c>
      <c r="B33" s="85">
        <f t="shared" ref="B33:N33" si="40">+B12/B$19</f>
        <v>4.5753211112834681E-2</v>
      </c>
      <c r="C33" s="85">
        <f t="shared" ref="C33" si="41">+C12/C$19</f>
        <v>0.13935167550920569</v>
      </c>
      <c r="D33" s="85">
        <f t="shared" ref="D33:E33" si="42">+D12/D$19</f>
        <v>0</v>
      </c>
      <c r="E33" s="85">
        <f t="shared" si="42"/>
        <v>0</v>
      </c>
      <c r="F33" s="85">
        <f t="shared" si="13"/>
        <v>0</v>
      </c>
      <c r="G33" s="85">
        <f t="shared" ref="G33" si="43">+G12/G$19</f>
        <v>3.3301313290436223E-2</v>
      </c>
      <c r="H33" s="85">
        <f t="shared" si="40"/>
        <v>2.4619044333137274E-2</v>
      </c>
      <c r="I33" s="85">
        <f t="shared" si="40"/>
        <v>3.6411273406874937E-2</v>
      </c>
      <c r="J33" s="85">
        <f t="shared" si="40"/>
        <v>3.4400255884066783E-2</v>
      </c>
      <c r="K33" s="85">
        <f t="shared" si="40"/>
        <v>4.7047542019747313E-2</v>
      </c>
      <c r="L33" s="85">
        <f t="shared" si="40"/>
        <v>1.5043283330577799E-2</v>
      </c>
      <c r="M33" s="85">
        <f t="shared" si="40"/>
        <v>1.2635147727109825E-2</v>
      </c>
      <c r="N33" s="85">
        <f t="shared" si="40"/>
        <v>5.4524585734917654E-4</v>
      </c>
    </row>
    <row r="34" spans="1:14" x14ac:dyDescent="0.3">
      <c r="A34" s="87" t="s">
        <v>95</v>
      </c>
      <c r="B34" s="85">
        <f t="shared" ref="B34:N34" si="44">+B13/B$19</f>
        <v>0.10412537272272876</v>
      </c>
      <c r="C34" s="85">
        <f t="shared" ref="C34" si="45">+C13/C$19</f>
        <v>9.8354968820948657E-2</v>
      </c>
      <c r="D34" s="85">
        <f t="shared" ref="D34:E34" si="46">+D13/D$19</f>
        <v>0.15089008951417318</v>
      </c>
      <c r="E34" s="85">
        <f t="shared" si="46"/>
        <v>8.1920699183721565E-2</v>
      </c>
      <c r="F34" s="85">
        <f t="shared" si="13"/>
        <v>0.10682133416383499</v>
      </c>
      <c r="G34" s="85">
        <f t="shared" ref="G34" si="47">+G13/G$19</f>
        <v>1.7184808326860899E-2</v>
      </c>
      <c r="H34" s="85">
        <f t="shared" si="44"/>
        <v>8.4396051504088951E-2</v>
      </c>
      <c r="I34" s="85">
        <f t="shared" si="44"/>
        <v>0.13240982317645322</v>
      </c>
      <c r="J34" s="85">
        <f t="shared" si="44"/>
        <v>0.15201614265325597</v>
      </c>
      <c r="K34" s="85">
        <f t="shared" si="44"/>
        <v>0.14262066110554592</v>
      </c>
      <c r="L34" s="85">
        <f t="shared" si="44"/>
        <v>0.16231288726585474</v>
      </c>
      <c r="M34" s="85">
        <f t="shared" si="44"/>
        <v>3.213584299783534E-2</v>
      </c>
      <c r="N34" s="85">
        <f t="shared" si="44"/>
        <v>0.12380322301273916</v>
      </c>
    </row>
    <row r="35" spans="1:14" x14ac:dyDescent="0.3">
      <c r="A35" s="88" t="s">
        <v>107</v>
      </c>
      <c r="B35" s="105">
        <f t="shared" ref="B35:N35" si="48">+B14/B$19</f>
        <v>0.75194859538350467</v>
      </c>
      <c r="C35" s="105">
        <f t="shared" ref="C35" si="49">+C14/C$19</f>
        <v>0.75433176099209742</v>
      </c>
      <c r="D35" s="105">
        <f t="shared" ref="D35:E35" si="50">+D14/D$19</f>
        <v>0.78449770110190253</v>
      </c>
      <c r="E35" s="105">
        <f t="shared" si="50"/>
        <v>0.80805950737555421</v>
      </c>
      <c r="F35" s="105">
        <f t="shared" si="13"/>
        <v>0.71840280105205834</v>
      </c>
      <c r="G35" s="105">
        <f t="shared" ref="G35" si="51">+G14/G$19</f>
        <v>0.61332817413204221</v>
      </c>
      <c r="H35" s="105">
        <f t="shared" si="48"/>
        <v>0.67501187491488579</v>
      </c>
      <c r="I35" s="105">
        <f t="shared" si="48"/>
        <v>0.76440251332136533</v>
      </c>
      <c r="J35" s="105">
        <f t="shared" si="48"/>
        <v>0.71327193503126463</v>
      </c>
      <c r="K35" s="105">
        <f t="shared" si="48"/>
        <v>0.86301486676281813</v>
      </c>
      <c r="L35" s="105">
        <f t="shared" si="48"/>
        <v>0.75323070021075522</v>
      </c>
      <c r="M35" s="105">
        <f t="shared" si="48"/>
        <v>0.5721511819602334</v>
      </c>
      <c r="N35" s="105">
        <f t="shared" si="48"/>
        <v>0.69177630132332502</v>
      </c>
    </row>
    <row r="36" spans="1:14" x14ac:dyDescent="0.3">
      <c r="A36" s="87" t="s">
        <v>96</v>
      </c>
      <c r="B36" s="85">
        <f t="shared" ref="B36:N36" si="52">+B15/B$19</f>
        <v>0.18543350741423786</v>
      </c>
      <c r="C36" s="85">
        <f t="shared" ref="C36" si="53">+C15/C$19</f>
        <v>0.18413361470599385</v>
      </c>
      <c r="D36" s="85">
        <f t="shared" ref="D36:E36" si="54">+D15/D$19</f>
        <v>0.10038293028996392</v>
      </c>
      <c r="E36" s="85">
        <f t="shared" si="54"/>
        <v>9.6798202062851363E-2</v>
      </c>
      <c r="F36" s="85">
        <f t="shared" si="13"/>
        <v>0.18598023427051483</v>
      </c>
      <c r="G36" s="85">
        <f t="shared" ref="G36" si="55">+G15/G$19</f>
        <v>0.23536868698514612</v>
      </c>
      <c r="H36" s="85">
        <f t="shared" si="52"/>
        <v>0.17463883281543735</v>
      </c>
      <c r="I36" s="85">
        <f t="shared" si="52"/>
        <v>9.1995907134888519E-2</v>
      </c>
      <c r="J36" s="85">
        <f t="shared" si="52"/>
        <v>0.12917055740742753</v>
      </c>
      <c r="K36" s="85">
        <f t="shared" si="52"/>
        <v>2.4854495974951298E-2</v>
      </c>
      <c r="L36" s="85">
        <f t="shared" si="52"/>
        <v>0.15050460858856948</v>
      </c>
      <c r="M36" s="85">
        <f t="shared" si="52"/>
        <v>0.27971845119486216</v>
      </c>
      <c r="N36" s="85">
        <f t="shared" si="52"/>
        <v>0.13716621431000556</v>
      </c>
    </row>
    <row r="37" spans="1:14" x14ac:dyDescent="0.3">
      <c r="A37" s="87" t="s">
        <v>97</v>
      </c>
      <c r="B37" s="85">
        <f t="shared" ref="B37:N37" si="56">+B16/B$19</f>
        <v>2.1900871553571531E-2</v>
      </c>
      <c r="C37" s="85">
        <f t="shared" ref="C37" si="57">+C16/C$19</f>
        <v>2.2599772663406452E-2</v>
      </c>
      <c r="D37" s="85">
        <f t="shared" ref="D37:E37" si="58">+D16/D$19</f>
        <v>0.10164802413792016</v>
      </c>
      <c r="E37" s="85">
        <f t="shared" si="58"/>
        <v>8.7374768727259883E-2</v>
      </c>
      <c r="F37" s="85">
        <f t="shared" si="13"/>
        <v>8.1301732197736162E-2</v>
      </c>
      <c r="G37" s="85">
        <f t="shared" ref="G37" si="59">+G16/G$19</f>
        <v>7.6624825019276699E-2</v>
      </c>
      <c r="H37" s="85">
        <f t="shared" si="56"/>
        <v>0.13149263937827654</v>
      </c>
      <c r="I37" s="85">
        <f t="shared" si="56"/>
        <v>0.11571274464195644</v>
      </c>
      <c r="J37" s="85">
        <f t="shared" si="56"/>
        <v>0.13120904919947254</v>
      </c>
      <c r="K37" s="85">
        <f t="shared" si="56"/>
        <v>7.6095124778555165E-2</v>
      </c>
      <c r="L37" s="85">
        <f t="shared" si="56"/>
        <v>8.4742476439486833E-2</v>
      </c>
      <c r="M37" s="85">
        <f t="shared" si="56"/>
        <v>0.13845262841005204</v>
      </c>
      <c r="N37" s="85">
        <f t="shared" si="56"/>
        <v>0.15394803029057996</v>
      </c>
    </row>
    <row r="38" spans="1:14" x14ac:dyDescent="0.3">
      <c r="A38" s="87" t="s">
        <v>98</v>
      </c>
      <c r="B38" s="85">
        <f t="shared" ref="B38:N38" si="60">+B17/B$19</f>
        <v>4.071702564868597E-2</v>
      </c>
      <c r="C38" s="85">
        <f t="shared" ref="C38" si="61">+C17/C$19</f>
        <v>3.893485163850232E-2</v>
      </c>
      <c r="D38" s="85">
        <f t="shared" ref="D38:E38" si="62">+D17/D$19</f>
        <v>1.347134447021333E-2</v>
      </c>
      <c r="E38" s="85">
        <f t="shared" si="62"/>
        <v>7.7675218343345159E-3</v>
      </c>
      <c r="F38" s="85">
        <f t="shared" si="13"/>
        <v>1.4315232479690647E-2</v>
      </c>
      <c r="G38" s="85">
        <f t="shared" ref="G38" si="63">+G17/G$19</f>
        <v>7.4678313863535004E-2</v>
      </c>
      <c r="H38" s="85">
        <f t="shared" si="60"/>
        <v>1.8856652891400299E-2</v>
      </c>
      <c r="I38" s="85">
        <f t="shared" si="60"/>
        <v>2.7888834901789665E-2</v>
      </c>
      <c r="J38" s="85">
        <f t="shared" si="60"/>
        <v>2.6348458361835272E-2</v>
      </c>
      <c r="K38" s="85">
        <f t="shared" si="60"/>
        <v>3.6035512483675383E-2</v>
      </c>
      <c r="L38" s="85">
        <f t="shared" si="60"/>
        <v>1.152221476118849E-2</v>
      </c>
      <c r="M38" s="85">
        <f t="shared" si="60"/>
        <v>9.6777384348524162E-3</v>
      </c>
      <c r="N38" s="85">
        <f t="shared" si="60"/>
        <v>1.7109454076089482E-2</v>
      </c>
    </row>
    <row r="39" spans="1:14" ht="15" thickBot="1" x14ac:dyDescent="0.35">
      <c r="A39" s="88" t="s">
        <v>111</v>
      </c>
      <c r="B39" s="105">
        <f t="shared" ref="B39:N39" si="64">+B18/B$19</f>
        <v>0.24805140461649536</v>
      </c>
      <c r="C39" s="105">
        <f t="shared" ref="C39" si="65">+C18/C$19</f>
        <v>0.24566823900790263</v>
      </c>
      <c r="D39" s="105">
        <f t="shared" ref="D39:E39" si="66">+D18/D$19</f>
        <v>0.21550229889809741</v>
      </c>
      <c r="E39" s="105">
        <f t="shared" si="66"/>
        <v>0.19194049262444576</v>
      </c>
      <c r="F39" s="105">
        <f t="shared" si="13"/>
        <v>0.28159719894794166</v>
      </c>
      <c r="G39" s="105">
        <f t="shared" ref="G39" si="67">+G18/G$19</f>
        <v>0.38667182586795784</v>
      </c>
      <c r="H39" s="105">
        <f t="shared" si="64"/>
        <v>0.32498812508511421</v>
      </c>
      <c r="I39" s="105">
        <f t="shared" si="64"/>
        <v>0.23559748667863462</v>
      </c>
      <c r="J39" s="105">
        <f t="shared" si="64"/>
        <v>0.28672806496873532</v>
      </c>
      <c r="K39" s="105">
        <f t="shared" si="64"/>
        <v>0.13698513323718184</v>
      </c>
      <c r="L39" s="105">
        <f t="shared" si="64"/>
        <v>0.24676929978924481</v>
      </c>
      <c r="M39" s="105">
        <f t="shared" si="64"/>
        <v>0.4278488180397666</v>
      </c>
      <c r="N39" s="105">
        <f t="shared" si="64"/>
        <v>0.30822369867667498</v>
      </c>
    </row>
    <row r="40" spans="1:14" ht="15" thickBot="1" x14ac:dyDescent="0.35">
      <c r="A40" s="72" t="s">
        <v>112</v>
      </c>
      <c r="B40" s="92">
        <f t="shared" ref="B40:N40" si="68">+B19/B$19</f>
        <v>1</v>
      </c>
      <c r="C40" s="92">
        <f t="shared" ref="C40" si="69">+C19/C$19</f>
        <v>1</v>
      </c>
      <c r="D40" s="92">
        <f t="shared" ref="D40:E40" si="70">+D19/D$19</f>
        <v>1</v>
      </c>
      <c r="E40" s="92">
        <f t="shared" si="70"/>
        <v>1</v>
      </c>
      <c r="F40" s="92">
        <f t="shared" si="13"/>
        <v>1</v>
      </c>
      <c r="G40" s="92">
        <f t="shared" ref="G40" si="71">+G19/G$19</f>
        <v>1</v>
      </c>
      <c r="H40" s="92">
        <f t="shared" si="68"/>
        <v>1</v>
      </c>
      <c r="I40" s="92">
        <f t="shared" si="68"/>
        <v>1</v>
      </c>
      <c r="J40" s="92">
        <f t="shared" si="68"/>
        <v>1</v>
      </c>
      <c r="K40" s="92">
        <f t="shared" si="68"/>
        <v>1</v>
      </c>
      <c r="L40" s="92">
        <f t="shared" si="68"/>
        <v>1</v>
      </c>
      <c r="M40" s="92">
        <f t="shared" si="68"/>
        <v>1</v>
      </c>
      <c r="N40" s="92">
        <f t="shared" si="68"/>
        <v>1</v>
      </c>
    </row>
    <row r="41" spans="1:14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x14ac:dyDescent="0.3">
      <c r="A42" s="28" t="s">
        <v>121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x14ac:dyDescent="0.3">
      <c r="A43" s="28" t="s">
        <v>122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x14ac:dyDescent="0.3">
      <c r="A44" s="28" t="s">
        <v>123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x14ac:dyDescent="0.3">
      <c r="A45" s="28" t="s">
        <v>124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x14ac:dyDescent="0.3">
      <c r="A46" s="95">
        <v>41008</v>
      </c>
    </row>
  </sheetData>
  <mergeCells count="3">
    <mergeCell ref="A2:N2"/>
    <mergeCell ref="A25:N25"/>
    <mergeCell ref="A1:N1"/>
  </mergeCells>
  <hyperlinks>
    <hyperlink ref="A1:N1" location="CONTENIDO!A1" display="EMPRESAS DE TRANSPORTE AÉREO PASAJEROS REGULAR NACIONAL   -  COSTOS DE OPERACIÓN POR TIPO DE AERONAVE   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44"/>
  <sheetViews>
    <sheetView topLeftCell="C1" workbookViewId="0">
      <selection activeCell="P8" sqref="P8"/>
    </sheetView>
  </sheetViews>
  <sheetFormatPr baseColWidth="10" defaultRowHeight="14.4" x14ac:dyDescent="0.3"/>
  <cols>
    <col min="1" max="1" width="6" style="28" customWidth="1"/>
    <col min="2" max="2" width="18.453125" style="28" customWidth="1"/>
    <col min="3" max="3" width="9.08984375" style="28" customWidth="1"/>
    <col min="4" max="4" width="24.1796875" style="28" customWidth="1"/>
    <col min="5" max="5" width="10.90625" style="28"/>
    <col min="6" max="6" width="10.90625" style="106"/>
    <col min="7" max="16384" width="10.90625" style="28"/>
  </cols>
  <sheetData>
    <row r="1" spans="4:15" x14ac:dyDescent="0.3">
      <c r="D1" s="189" t="s">
        <v>482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1"/>
    </row>
    <row r="2" spans="4:15" ht="15" thickBot="1" x14ac:dyDescent="0.35">
      <c r="D2" s="192" t="s">
        <v>469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</row>
    <row r="3" spans="4:15" ht="15" thickBot="1" x14ac:dyDescent="0.35"/>
    <row r="4" spans="4:15" ht="15" thickBot="1" x14ac:dyDescent="0.35">
      <c r="D4" s="108" t="s">
        <v>0</v>
      </c>
      <c r="E4" s="108" t="s">
        <v>17</v>
      </c>
      <c r="F4" s="108" t="s">
        <v>3</v>
      </c>
      <c r="G4" s="108" t="s">
        <v>273</v>
      </c>
      <c r="H4" s="108" t="s">
        <v>274</v>
      </c>
      <c r="I4" s="108" t="s">
        <v>277</v>
      </c>
      <c r="J4" s="108" t="s">
        <v>10</v>
      </c>
      <c r="K4" s="108" t="s">
        <v>285</v>
      </c>
      <c r="L4" s="108" t="s">
        <v>286</v>
      </c>
      <c r="M4" s="108" t="s">
        <v>4</v>
      </c>
      <c r="N4" s="108" t="s">
        <v>295</v>
      </c>
      <c r="O4" s="108" t="s">
        <v>290</v>
      </c>
    </row>
    <row r="5" spans="4:15" x14ac:dyDescent="0.3">
      <c r="D5" s="68" t="s">
        <v>87</v>
      </c>
      <c r="E5" s="56">
        <v>600763</v>
      </c>
      <c r="F5" s="109">
        <v>680378.85714285716</v>
      </c>
      <c r="G5" s="56">
        <v>1205699</v>
      </c>
      <c r="H5" s="56">
        <v>578552</v>
      </c>
      <c r="I5" s="56">
        <v>2602956</v>
      </c>
      <c r="J5" s="56">
        <v>931102.5</v>
      </c>
      <c r="K5" s="56">
        <v>1521058</v>
      </c>
      <c r="L5" s="56">
        <v>1083103</v>
      </c>
      <c r="M5" s="56">
        <v>1622788</v>
      </c>
      <c r="N5" s="56">
        <v>830996</v>
      </c>
      <c r="O5" s="59">
        <v>19492</v>
      </c>
    </row>
    <row r="6" spans="4:15" x14ac:dyDescent="0.3">
      <c r="D6" s="33" t="s">
        <v>88</v>
      </c>
      <c r="E6" s="56">
        <v>196635.16666666666</v>
      </c>
      <c r="F6" s="109">
        <v>528225.42857142852</v>
      </c>
      <c r="G6" s="56">
        <v>0</v>
      </c>
      <c r="H6" s="56">
        <v>352909</v>
      </c>
      <c r="I6" s="56">
        <v>2235623</v>
      </c>
      <c r="J6" s="56">
        <v>376602.25</v>
      </c>
      <c r="K6" s="56">
        <v>746555</v>
      </c>
      <c r="L6" s="56">
        <v>458367.5</v>
      </c>
      <c r="M6" s="56">
        <v>1133379.3333333333</v>
      </c>
      <c r="N6" s="56">
        <v>694392</v>
      </c>
      <c r="O6" s="59">
        <v>0</v>
      </c>
    </row>
    <row r="7" spans="4:15" x14ac:dyDescent="0.3">
      <c r="D7" s="33" t="s">
        <v>133</v>
      </c>
      <c r="E7" s="56">
        <v>33715.5</v>
      </c>
      <c r="F7" s="109">
        <v>274867.57142857142</v>
      </c>
      <c r="G7" s="56">
        <v>56956</v>
      </c>
      <c r="H7" s="56">
        <v>135854</v>
      </c>
      <c r="I7" s="56">
        <v>45945</v>
      </c>
      <c r="J7" s="56">
        <v>55577.5</v>
      </c>
      <c r="K7" s="56">
        <v>33165</v>
      </c>
      <c r="L7" s="56">
        <v>60011</v>
      </c>
      <c r="M7" s="56">
        <v>46473</v>
      </c>
      <c r="N7" s="56">
        <v>538388</v>
      </c>
      <c r="O7" s="59">
        <v>21441</v>
      </c>
    </row>
    <row r="8" spans="4:15" x14ac:dyDescent="0.3">
      <c r="D8" s="33" t="s">
        <v>127</v>
      </c>
      <c r="E8" s="56">
        <v>1262140.3333333333</v>
      </c>
      <c r="F8" s="109">
        <v>1545507.2857142857</v>
      </c>
      <c r="G8" s="56">
        <v>1736990</v>
      </c>
      <c r="H8" s="56">
        <v>1610789</v>
      </c>
      <c r="I8" s="56">
        <v>2706388</v>
      </c>
      <c r="J8" s="56">
        <v>1333993.75</v>
      </c>
      <c r="K8" s="56">
        <v>1182419</v>
      </c>
      <c r="L8" s="56">
        <v>2593237</v>
      </c>
      <c r="M8" s="56">
        <v>2063951.3333333333</v>
      </c>
      <c r="N8" s="56">
        <v>3943781</v>
      </c>
      <c r="O8" s="59">
        <v>28998</v>
      </c>
    </row>
    <row r="9" spans="4:15" x14ac:dyDescent="0.3">
      <c r="D9" s="33" t="s">
        <v>91</v>
      </c>
      <c r="E9" s="56">
        <v>537858.66666666663</v>
      </c>
      <c r="F9" s="109">
        <v>543092.71428571432</v>
      </c>
      <c r="G9" s="56">
        <v>1453165</v>
      </c>
      <c r="H9" s="56">
        <v>0</v>
      </c>
      <c r="I9" s="56">
        <v>3140937</v>
      </c>
      <c r="J9" s="56">
        <v>322104.25</v>
      </c>
      <c r="K9" s="56">
        <v>268300</v>
      </c>
      <c r="L9" s="56">
        <v>407186.5</v>
      </c>
      <c r="M9" s="56">
        <v>1288984</v>
      </c>
      <c r="N9" s="56">
        <v>0</v>
      </c>
      <c r="O9" s="59">
        <v>129004</v>
      </c>
    </row>
    <row r="10" spans="4:15" x14ac:dyDescent="0.3">
      <c r="D10" s="33" t="s">
        <v>92</v>
      </c>
      <c r="E10" s="56">
        <v>323916.66666666669</v>
      </c>
      <c r="F10" s="109">
        <v>3082241.1428571427</v>
      </c>
      <c r="G10" s="56">
        <v>293431</v>
      </c>
      <c r="H10" s="56">
        <v>1160265</v>
      </c>
      <c r="I10" s="56">
        <v>2211907</v>
      </c>
      <c r="J10" s="56">
        <v>929236</v>
      </c>
      <c r="K10" s="56">
        <v>858957</v>
      </c>
      <c r="L10" s="56">
        <v>2050120</v>
      </c>
      <c r="M10" s="56">
        <v>1547745.6666666667</v>
      </c>
      <c r="N10" s="56">
        <v>168214</v>
      </c>
      <c r="O10" s="59">
        <v>457189</v>
      </c>
    </row>
    <row r="11" spans="4:15" x14ac:dyDescent="0.3">
      <c r="D11" s="33" t="s">
        <v>93</v>
      </c>
      <c r="E11" s="56">
        <v>2572824.8333333335</v>
      </c>
      <c r="F11" s="109">
        <v>3722989.5714285714</v>
      </c>
      <c r="G11" s="56">
        <v>5644298</v>
      </c>
      <c r="H11" s="56">
        <v>10558027</v>
      </c>
      <c r="I11" s="56">
        <v>12713578</v>
      </c>
      <c r="J11" s="56">
        <v>3215882.25</v>
      </c>
      <c r="K11" s="56">
        <v>4606398</v>
      </c>
      <c r="L11" s="56">
        <v>4363807.5</v>
      </c>
      <c r="M11" s="56">
        <v>7201464.333333333</v>
      </c>
      <c r="N11" s="56">
        <v>5241400</v>
      </c>
      <c r="O11" s="59">
        <v>378433</v>
      </c>
    </row>
    <row r="12" spans="4:15" x14ac:dyDescent="0.3">
      <c r="D12" s="33" t="s">
        <v>94</v>
      </c>
      <c r="E12" s="56">
        <v>2694.8333333333335</v>
      </c>
      <c r="F12" s="109">
        <v>0</v>
      </c>
      <c r="G12" s="56">
        <v>0</v>
      </c>
      <c r="H12" s="56">
        <v>48408</v>
      </c>
      <c r="I12" s="56">
        <v>712007</v>
      </c>
      <c r="J12" s="56">
        <v>520524.75</v>
      </c>
      <c r="K12" s="56">
        <v>234201</v>
      </c>
      <c r="L12" s="56">
        <v>0</v>
      </c>
      <c r="M12" s="56">
        <v>465190</v>
      </c>
      <c r="N12" s="56">
        <v>560578</v>
      </c>
      <c r="O12" s="59">
        <v>0</v>
      </c>
    </row>
    <row r="13" spans="4:15" ht="15" thickBot="1" x14ac:dyDescent="0.35">
      <c r="D13" s="60" t="s">
        <v>137</v>
      </c>
      <c r="E13" s="61">
        <v>906894.33333333337</v>
      </c>
      <c r="F13" s="110">
        <v>829334.71428571432</v>
      </c>
      <c r="G13" s="61">
        <v>2466794</v>
      </c>
      <c r="H13" s="61">
        <v>1298424</v>
      </c>
      <c r="I13" s="61">
        <v>2054339</v>
      </c>
      <c r="J13" s="61">
        <v>664907.5</v>
      </c>
      <c r="K13" s="61">
        <v>1261227</v>
      </c>
      <c r="L13" s="61">
        <v>1310294</v>
      </c>
      <c r="M13" s="61">
        <v>1441213.3333333333</v>
      </c>
      <c r="N13" s="61">
        <v>578096</v>
      </c>
      <c r="O13" s="63">
        <v>0</v>
      </c>
    </row>
    <row r="14" spans="4:15" s="111" customFormat="1" ht="15" thickBot="1" x14ac:dyDescent="0.35">
      <c r="D14" s="64" t="s">
        <v>107</v>
      </c>
      <c r="E14" s="65">
        <f>SUM(E5:E13)</f>
        <v>6437443.3333333321</v>
      </c>
      <c r="F14" s="65">
        <f t="shared" ref="F14:O14" si="0">SUM(F5:F13)</f>
        <v>11206637.285714285</v>
      </c>
      <c r="G14" s="65">
        <f t="shared" si="0"/>
        <v>12857333</v>
      </c>
      <c r="H14" s="65">
        <f t="shared" si="0"/>
        <v>15743228</v>
      </c>
      <c r="I14" s="65">
        <f t="shared" si="0"/>
        <v>28423680</v>
      </c>
      <c r="J14" s="65">
        <f t="shared" si="0"/>
        <v>8349930.75</v>
      </c>
      <c r="K14" s="65">
        <f t="shared" si="0"/>
        <v>10712280</v>
      </c>
      <c r="L14" s="65">
        <f t="shared" si="0"/>
        <v>12326126.5</v>
      </c>
      <c r="M14" s="65">
        <f t="shared" si="0"/>
        <v>16811189</v>
      </c>
      <c r="N14" s="65">
        <f t="shared" si="0"/>
        <v>12555845</v>
      </c>
      <c r="O14" s="65">
        <f t="shared" si="0"/>
        <v>1034557</v>
      </c>
    </row>
    <row r="15" spans="4:15" x14ac:dyDescent="0.3">
      <c r="D15" s="68" t="s">
        <v>96</v>
      </c>
      <c r="E15" s="69">
        <v>1062025.6666666667</v>
      </c>
      <c r="F15" s="112">
        <v>1721594.2857142857</v>
      </c>
      <c r="G15" s="69">
        <v>1486951</v>
      </c>
      <c r="H15" s="69">
        <v>458150</v>
      </c>
      <c r="I15" s="69">
        <v>1004411</v>
      </c>
      <c r="J15" s="69">
        <v>589074.75</v>
      </c>
      <c r="K15" s="69">
        <v>377622</v>
      </c>
      <c r="L15" s="69">
        <v>983490.5</v>
      </c>
      <c r="M15" s="69">
        <v>1153946</v>
      </c>
      <c r="N15" s="69">
        <v>2193339</v>
      </c>
      <c r="O15" s="76">
        <v>142494</v>
      </c>
    </row>
    <row r="16" spans="4:15" x14ac:dyDescent="0.3">
      <c r="D16" s="33" t="s">
        <v>97</v>
      </c>
      <c r="E16" s="56">
        <v>608978.83333333337</v>
      </c>
      <c r="F16" s="109">
        <v>1302194.857142857</v>
      </c>
      <c r="G16" s="56">
        <v>907459</v>
      </c>
      <c r="H16" s="56">
        <v>1603899</v>
      </c>
      <c r="I16" s="56">
        <v>1889638</v>
      </c>
      <c r="J16" s="56">
        <v>499797.75</v>
      </c>
      <c r="K16" s="56">
        <v>288993</v>
      </c>
      <c r="L16" s="56">
        <v>867506.5</v>
      </c>
      <c r="M16" s="56">
        <v>1031853.3333333334</v>
      </c>
      <c r="N16" s="56">
        <v>1674592</v>
      </c>
      <c r="O16" s="59">
        <v>255218</v>
      </c>
    </row>
    <row r="17" spans="4:15" ht="15" thickBot="1" x14ac:dyDescent="0.35">
      <c r="D17" s="60" t="s">
        <v>138</v>
      </c>
      <c r="E17" s="61">
        <v>34401.333333333336</v>
      </c>
      <c r="F17" s="110">
        <v>102623</v>
      </c>
      <c r="G17" s="61">
        <v>0</v>
      </c>
      <c r="H17" s="61">
        <v>699006</v>
      </c>
      <c r="I17" s="61">
        <v>128409</v>
      </c>
      <c r="J17" s="61">
        <v>168840.75</v>
      </c>
      <c r="K17" s="61">
        <v>0</v>
      </c>
      <c r="L17" s="61">
        <v>420315</v>
      </c>
      <c r="M17" s="61">
        <v>314432.66666666669</v>
      </c>
      <c r="N17" s="61">
        <v>1462226</v>
      </c>
      <c r="O17" s="63">
        <v>21194</v>
      </c>
    </row>
    <row r="18" spans="4:15" s="111" customFormat="1" ht="15" thickBot="1" x14ac:dyDescent="0.35">
      <c r="D18" s="64" t="s">
        <v>111</v>
      </c>
      <c r="E18" s="65">
        <f>SUM(E15:E17)</f>
        <v>1705405.8333333333</v>
      </c>
      <c r="F18" s="65">
        <f t="shared" ref="F18:O18" si="1">SUM(F15:F17)</f>
        <v>3126412.1428571427</v>
      </c>
      <c r="G18" s="65">
        <f t="shared" si="1"/>
        <v>2394410</v>
      </c>
      <c r="H18" s="65">
        <f t="shared" si="1"/>
        <v>2761055</v>
      </c>
      <c r="I18" s="65">
        <f t="shared" si="1"/>
        <v>3022458</v>
      </c>
      <c r="J18" s="65">
        <f t="shared" si="1"/>
        <v>1257713.25</v>
      </c>
      <c r="K18" s="65">
        <f t="shared" si="1"/>
        <v>666615</v>
      </c>
      <c r="L18" s="65">
        <f t="shared" si="1"/>
        <v>2271312</v>
      </c>
      <c r="M18" s="65">
        <f t="shared" si="1"/>
        <v>2500232</v>
      </c>
      <c r="N18" s="65">
        <f t="shared" si="1"/>
        <v>5330157</v>
      </c>
      <c r="O18" s="65">
        <f t="shared" si="1"/>
        <v>418906</v>
      </c>
    </row>
    <row r="19" spans="4:15" s="111" customFormat="1" ht="15" thickBot="1" x14ac:dyDescent="0.35">
      <c r="D19" s="113" t="s">
        <v>86</v>
      </c>
      <c r="E19" s="114">
        <v>8294542</v>
      </c>
      <c r="F19" s="115">
        <v>14971396.142857144</v>
      </c>
      <c r="G19" s="114">
        <v>15251743</v>
      </c>
      <c r="H19" s="114">
        <v>18504283</v>
      </c>
      <c r="I19" s="114">
        <v>32131153</v>
      </c>
      <c r="J19" s="114">
        <v>9607644</v>
      </c>
      <c r="K19" s="114">
        <v>11378895</v>
      </c>
      <c r="L19" s="114">
        <v>14597438.5</v>
      </c>
      <c r="M19" s="114">
        <v>19689754.333333332</v>
      </c>
      <c r="N19" s="114">
        <v>18048298</v>
      </c>
      <c r="O19" s="116">
        <v>1453463</v>
      </c>
    </row>
    <row r="20" spans="4:15" x14ac:dyDescent="0.3">
      <c r="D20" s="68" t="s">
        <v>1</v>
      </c>
      <c r="E20" s="69">
        <v>872663</v>
      </c>
      <c r="F20" s="112">
        <v>5736</v>
      </c>
      <c r="G20" s="69">
        <v>29</v>
      </c>
      <c r="H20" s="69">
        <v>456</v>
      </c>
      <c r="I20" s="69">
        <v>2819</v>
      </c>
      <c r="J20" s="69"/>
      <c r="K20" s="69">
        <v>9</v>
      </c>
      <c r="L20" s="69"/>
      <c r="M20" s="69"/>
      <c r="N20" s="69">
        <v>314</v>
      </c>
      <c r="O20" s="76">
        <v>7</v>
      </c>
    </row>
    <row r="21" spans="4:15" x14ac:dyDescent="0.3">
      <c r="D21" s="33" t="s">
        <v>2</v>
      </c>
      <c r="E21" s="56">
        <v>594081</v>
      </c>
      <c r="F21" s="109">
        <v>1691</v>
      </c>
      <c r="G21" s="56">
        <v>10</v>
      </c>
      <c r="H21" s="56">
        <v>76</v>
      </c>
      <c r="I21" s="56">
        <v>294</v>
      </c>
      <c r="J21" s="56"/>
      <c r="K21" s="56">
        <v>2</v>
      </c>
      <c r="L21" s="56"/>
      <c r="M21" s="56"/>
      <c r="N21" s="56">
        <v>44</v>
      </c>
      <c r="O21" s="59">
        <v>51</v>
      </c>
    </row>
    <row r="22" spans="4:15" ht="15" thickBot="1" x14ac:dyDescent="0.35">
      <c r="D22" s="77" t="s">
        <v>85</v>
      </c>
      <c r="E22" s="78">
        <v>31</v>
      </c>
      <c r="F22" s="117">
        <v>7</v>
      </c>
      <c r="G22" s="78">
        <v>0</v>
      </c>
      <c r="H22" s="78">
        <v>1</v>
      </c>
      <c r="I22" s="78">
        <v>35</v>
      </c>
      <c r="J22" s="78"/>
      <c r="K22" s="78">
        <v>10</v>
      </c>
      <c r="L22" s="78"/>
      <c r="M22" s="78"/>
      <c r="N22" s="78">
        <v>5</v>
      </c>
      <c r="O22" s="80">
        <v>2</v>
      </c>
    </row>
    <row r="23" spans="4:15" ht="15" thickBot="1" x14ac:dyDescent="0.35"/>
    <row r="24" spans="4:15" ht="15" thickBot="1" x14ac:dyDescent="0.35">
      <c r="D24" s="186" t="s">
        <v>118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  <row r="25" spans="4:15" x14ac:dyDescent="0.3">
      <c r="D25" s="48" t="s">
        <v>87</v>
      </c>
      <c r="E25" s="85">
        <f>+E5/E$19</f>
        <v>7.24287127607528E-2</v>
      </c>
      <c r="F25" s="85">
        <f t="shared" ref="F25:O25" si="2">+F5/F$19</f>
        <v>4.5445251107557261E-2</v>
      </c>
      <c r="G25" s="85">
        <f t="shared" si="2"/>
        <v>7.9053194116895362E-2</v>
      </c>
      <c r="H25" s="85">
        <f t="shared" si="2"/>
        <v>3.126584261600409E-2</v>
      </c>
      <c r="I25" s="85">
        <f t="shared" si="2"/>
        <v>8.1010351542629047E-2</v>
      </c>
      <c r="J25" s="85">
        <f t="shared" si="2"/>
        <v>9.6912677030914135E-2</v>
      </c>
      <c r="K25" s="85">
        <f t="shared" si="2"/>
        <v>0.13367361242018666</v>
      </c>
      <c r="L25" s="85">
        <f t="shared" si="2"/>
        <v>7.4198154696798344E-2</v>
      </c>
      <c r="M25" s="85">
        <f t="shared" si="2"/>
        <v>8.2417889656080531E-2</v>
      </c>
      <c r="N25" s="85">
        <f t="shared" si="2"/>
        <v>4.6042901109013157E-2</v>
      </c>
      <c r="O25" s="85">
        <f t="shared" si="2"/>
        <v>1.3410730097704585E-2</v>
      </c>
    </row>
    <row r="26" spans="4:15" x14ac:dyDescent="0.3">
      <c r="D26" s="87" t="s">
        <v>88</v>
      </c>
      <c r="E26" s="85">
        <f t="shared" ref="E26:O26" si="3">+E6/E$19</f>
        <v>2.3706573149749156E-2</v>
      </c>
      <c r="F26" s="85">
        <f t="shared" si="3"/>
        <v>3.528230924698663E-2</v>
      </c>
      <c r="G26" s="85">
        <f t="shared" si="3"/>
        <v>0</v>
      </c>
      <c r="H26" s="85">
        <f t="shared" si="3"/>
        <v>1.9071746795052798E-2</v>
      </c>
      <c r="I26" s="85">
        <f t="shared" si="3"/>
        <v>6.9578050933933183E-2</v>
      </c>
      <c r="J26" s="85">
        <f t="shared" si="3"/>
        <v>3.9198189483290596E-2</v>
      </c>
      <c r="K26" s="85">
        <f t="shared" si="3"/>
        <v>6.5608743203975431E-2</v>
      </c>
      <c r="L26" s="85">
        <f t="shared" si="3"/>
        <v>3.1400543321350526E-2</v>
      </c>
      <c r="M26" s="85">
        <f t="shared" si="3"/>
        <v>5.7561882903465381E-2</v>
      </c>
      <c r="N26" s="85">
        <f t="shared" si="3"/>
        <v>3.8474098776516211E-2</v>
      </c>
      <c r="O26" s="85">
        <f t="shared" si="3"/>
        <v>0</v>
      </c>
    </row>
    <row r="27" spans="4:15" x14ac:dyDescent="0.3">
      <c r="D27" s="87" t="s">
        <v>89</v>
      </c>
      <c r="E27" s="85">
        <f t="shared" ref="E27:O27" si="4">+E7/E$19</f>
        <v>4.0647813948015456E-3</v>
      </c>
      <c r="F27" s="85">
        <f t="shared" si="4"/>
        <v>1.8359514958109689E-2</v>
      </c>
      <c r="G27" s="85">
        <f t="shared" si="4"/>
        <v>3.7343928493943283E-3</v>
      </c>
      <c r="H27" s="85">
        <f t="shared" si="4"/>
        <v>7.3417597428660167E-3</v>
      </c>
      <c r="I27" s="85">
        <f t="shared" si="4"/>
        <v>1.4299206754267424E-3</v>
      </c>
      <c r="J27" s="85">
        <f t="shared" si="4"/>
        <v>5.7847168358860926E-3</v>
      </c>
      <c r="K27" s="85">
        <f t="shared" si="4"/>
        <v>2.9146063831329842E-3</v>
      </c>
      <c r="L27" s="85">
        <f t="shared" si="4"/>
        <v>4.111063732174655E-3</v>
      </c>
      <c r="M27" s="85">
        <f t="shared" si="4"/>
        <v>2.3602630694748977E-3</v>
      </c>
      <c r="N27" s="85">
        <f t="shared" si="4"/>
        <v>2.9830402844633883E-2</v>
      </c>
      <c r="O27" s="85">
        <f t="shared" si="4"/>
        <v>1.4751665505073057E-2</v>
      </c>
    </row>
    <row r="28" spans="4:15" x14ac:dyDescent="0.3">
      <c r="D28" s="87" t="s">
        <v>90</v>
      </c>
      <c r="E28" s="85">
        <f t="shared" ref="E28:O28" si="5">+E8/E$19</f>
        <v>0.152165162745976</v>
      </c>
      <c r="F28" s="85">
        <f t="shared" si="5"/>
        <v>0.10323067207407023</v>
      </c>
      <c r="G28" s="85">
        <f t="shared" si="5"/>
        <v>0.11388796677206009</v>
      </c>
      <c r="H28" s="85">
        <f t="shared" si="5"/>
        <v>8.7049522534863949E-2</v>
      </c>
      <c r="I28" s="85">
        <f t="shared" si="5"/>
        <v>8.4229408138575046E-2</v>
      </c>
      <c r="J28" s="85">
        <f t="shared" si="5"/>
        <v>0.13884712526817189</v>
      </c>
      <c r="K28" s="85">
        <f t="shared" si="5"/>
        <v>0.10391334132180673</v>
      </c>
      <c r="L28" s="85">
        <f t="shared" si="5"/>
        <v>0.17765014046813762</v>
      </c>
      <c r="M28" s="85">
        <f t="shared" si="5"/>
        <v>0.10482362036580684</v>
      </c>
      <c r="N28" s="85">
        <f t="shared" si="5"/>
        <v>0.21851262650915892</v>
      </c>
      <c r="O28" s="85">
        <f t="shared" si="5"/>
        <v>1.9950972264171845E-2</v>
      </c>
    </row>
    <row r="29" spans="4:15" x14ac:dyDescent="0.3">
      <c r="D29" s="87" t="s">
        <v>91</v>
      </c>
      <c r="E29" s="85">
        <f t="shared" ref="E29:O29" si="6">+E9/E$19</f>
        <v>6.4844890370880828E-2</v>
      </c>
      <c r="F29" s="85">
        <f t="shared" si="6"/>
        <v>3.6275355291084457E-2</v>
      </c>
      <c r="G29" s="85">
        <f t="shared" si="6"/>
        <v>9.527861831923079E-2</v>
      </c>
      <c r="H29" s="85">
        <f t="shared" si="6"/>
        <v>0</v>
      </c>
      <c r="I29" s="85">
        <f t="shared" si="6"/>
        <v>9.7753634922469163E-2</v>
      </c>
      <c r="J29" s="85">
        <f t="shared" si="6"/>
        <v>3.3525831098654361E-2</v>
      </c>
      <c r="K29" s="85">
        <f t="shared" si="6"/>
        <v>2.3578739411867319E-2</v>
      </c>
      <c r="L29" s="85">
        <f t="shared" si="6"/>
        <v>2.7894380236642202E-2</v>
      </c>
      <c r="M29" s="85">
        <f t="shared" si="6"/>
        <v>6.5464707084630466E-2</v>
      </c>
      <c r="N29" s="85">
        <f t="shared" si="6"/>
        <v>0</v>
      </c>
      <c r="O29" s="85">
        <f t="shared" si="6"/>
        <v>8.8756301329996012E-2</v>
      </c>
    </row>
    <row r="30" spans="4:15" x14ac:dyDescent="0.3">
      <c r="D30" s="87" t="s">
        <v>92</v>
      </c>
      <c r="E30" s="85">
        <f t="shared" ref="E30:O30" si="7">+E10/E$19</f>
        <v>3.905178449475169E-2</v>
      </c>
      <c r="F30" s="85">
        <f t="shared" si="7"/>
        <v>0.20587533142843734</v>
      </c>
      <c r="G30" s="85">
        <f t="shared" si="7"/>
        <v>1.9239178105741751E-2</v>
      </c>
      <c r="H30" s="85">
        <f t="shared" si="7"/>
        <v>6.2702510548503829E-2</v>
      </c>
      <c r="I30" s="85">
        <f t="shared" si="7"/>
        <v>6.8839951059334839E-2</v>
      </c>
      <c r="J30" s="85">
        <f t="shared" si="7"/>
        <v>9.6718404636974481E-2</v>
      </c>
      <c r="K30" s="85">
        <f t="shared" si="7"/>
        <v>7.5486855270217368E-2</v>
      </c>
      <c r="L30" s="85">
        <f t="shared" si="7"/>
        <v>0.14044381827674765</v>
      </c>
      <c r="M30" s="85">
        <f t="shared" si="7"/>
        <v>7.860665199090093E-2</v>
      </c>
      <c r="N30" s="85">
        <f t="shared" si="7"/>
        <v>9.3202140168563256E-3</v>
      </c>
      <c r="O30" s="85">
        <f t="shared" si="7"/>
        <v>0.31455152281138221</v>
      </c>
    </row>
    <row r="31" spans="4:15" x14ac:dyDescent="0.3">
      <c r="D31" s="87" t="s">
        <v>93</v>
      </c>
      <c r="E31" s="85">
        <f t="shared" ref="E31:O31" si="8">+E11/E$19</f>
        <v>0.31018286884716884</v>
      </c>
      <c r="F31" s="85">
        <f t="shared" si="8"/>
        <v>0.2486735061916594</v>
      </c>
      <c r="G31" s="85">
        <f t="shared" si="8"/>
        <v>0.37007560381787186</v>
      </c>
      <c r="H31" s="85">
        <f t="shared" si="8"/>
        <v>0.57057206701821406</v>
      </c>
      <c r="I31" s="85">
        <f t="shared" si="8"/>
        <v>0.39567761542824187</v>
      </c>
      <c r="J31" s="85">
        <f t="shared" si="8"/>
        <v>0.3347212126094597</v>
      </c>
      <c r="K31" s="85">
        <f t="shared" si="8"/>
        <v>0.40481944863714797</v>
      </c>
      <c r="L31" s="85">
        <f t="shared" si="8"/>
        <v>0.29894337283900868</v>
      </c>
      <c r="M31" s="85">
        <f t="shared" si="8"/>
        <v>0.3657467844147641</v>
      </c>
      <c r="N31" s="85">
        <f t="shared" si="8"/>
        <v>0.29040965524837853</v>
      </c>
      <c r="O31" s="85">
        <f t="shared" si="8"/>
        <v>0.260366448956733</v>
      </c>
    </row>
    <row r="32" spans="4:15" x14ac:dyDescent="0.3">
      <c r="D32" s="87" t="s">
        <v>94</v>
      </c>
      <c r="E32" s="85">
        <f t="shared" ref="E32:O32" si="9">+E12/E$19</f>
        <v>3.2489236094450222E-4</v>
      </c>
      <c r="F32" s="85">
        <f t="shared" si="9"/>
        <v>0</v>
      </c>
      <c r="G32" s="85">
        <f t="shared" si="9"/>
        <v>0</v>
      </c>
      <c r="H32" s="85">
        <f t="shared" si="9"/>
        <v>2.6160429993423683E-3</v>
      </c>
      <c r="I32" s="85">
        <f t="shared" si="9"/>
        <v>2.2159397765775787E-2</v>
      </c>
      <c r="J32" s="85">
        <f t="shared" si="9"/>
        <v>5.4178188742214015E-2</v>
      </c>
      <c r="K32" s="85">
        <f t="shared" si="9"/>
        <v>2.0582051244870437E-2</v>
      </c>
      <c r="L32" s="85">
        <f t="shared" si="9"/>
        <v>0</v>
      </c>
      <c r="M32" s="85">
        <f t="shared" si="9"/>
        <v>2.3625993098982799E-2</v>
      </c>
      <c r="N32" s="85">
        <f t="shared" si="9"/>
        <v>3.1059881657539121E-2</v>
      </c>
      <c r="O32" s="85">
        <f t="shared" si="9"/>
        <v>0</v>
      </c>
    </row>
    <row r="33" spans="4:15" x14ac:dyDescent="0.3">
      <c r="D33" s="87" t="s">
        <v>95</v>
      </c>
      <c r="E33" s="85">
        <f t="shared" ref="E33:O33" si="10">+E13/E$19</f>
        <v>0.10933627599128841</v>
      </c>
      <c r="F33" s="85">
        <f t="shared" si="10"/>
        <v>5.5394614261235091E-2</v>
      </c>
      <c r="G33" s="85">
        <f t="shared" si="10"/>
        <v>0.16173849769170645</v>
      </c>
      <c r="H33" s="85">
        <f t="shared" si="10"/>
        <v>7.0168836047308614E-2</v>
      </c>
      <c r="I33" s="85">
        <f t="shared" si="10"/>
        <v>6.3936049851681331E-2</v>
      </c>
      <c r="J33" s="85">
        <f t="shared" si="10"/>
        <v>6.9206092565461425E-2</v>
      </c>
      <c r="K33" s="85">
        <f t="shared" si="10"/>
        <v>0.11083914562881546</v>
      </c>
      <c r="L33" s="85">
        <f t="shared" si="10"/>
        <v>8.9761912680776157E-2</v>
      </c>
      <c r="M33" s="85">
        <f t="shared" si="10"/>
        <v>7.3196105392410268E-2</v>
      </c>
      <c r="N33" s="85">
        <f t="shared" si="10"/>
        <v>3.2030499496406808E-2</v>
      </c>
      <c r="O33" s="85">
        <f t="shared" si="10"/>
        <v>0</v>
      </c>
    </row>
    <row r="34" spans="4:15" x14ac:dyDescent="0.3">
      <c r="D34" s="88" t="s">
        <v>107</v>
      </c>
      <c r="E34" s="89">
        <f>+E14/E$19</f>
        <v>0.77610594211631356</v>
      </c>
      <c r="F34" s="89">
        <f t="shared" ref="F34:J34" si="11">+F13/F$18</f>
        <v>0.26526723809606495</v>
      </c>
      <c r="G34" s="89">
        <f t="shared" si="11"/>
        <v>1.0302304116671748</v>
      </c>
      <c r="H34" s="89">
        <f t="shared" si="11"/>
        <v>0.47026372165712022</v>
      </c>
      <c r="I34" s="90">
        <f t="shared" si="11"/>
        <v>0.67969149612666246</v>
      </c>
      <c r="J34" s="89">
        <f t="shared" si="11"/>
        <v>0.52866382698918057</v>
      </c>
      <c r="K34" s="89">
        <f t="shared" ref="K34:O34" si="12">+K13/K$18</f>
        <v>1.8919871290024977</v>
      </c>
      <c r="L34" s="89">
        <f t="shared" si="12"/>
        <v>0.57688860006903497</v>
      </c>
      <c r="M34" s="89">
        <f t="shared" si="12"/>
        <v>0.57643184045853879</v>
      </c>
      <c r="N34" s="89">
        <f t="shared" si="12"/>
        <v>0.10845759327539507</v>
      </c>
      <c r="O34" s="89">
        <f t="shared" si="12"/>
        <v>0</v>
      </c>
    </row>
    <row r="35" spans="4:15" x14ac:dyDescent="0.3">
      <c r="D35" s="87" t="s">
        <v>96</v>
      </c>
      <c r="E35" s="85">
        <f>+E15/E$19</f>
        <v>0.12803909687438642</v>
      </c>
      <c r="F35" s="85">
        <f t="shared" ref="F35:O35" si="13">+F15/F$19</f>
        <v>0.11499223380951407</v>
      </c>
      <c r="G35" s="85">
        <f t="shared" si="13"/>
        <v>9.7493840540061549E-2</v>
      </c>
      <c r="H35" s="85">
        <f t="shared" si="13"/>
        <v>2.4759132791040864E-2</v>
      </c>
      <c r="I35" s="85">
        <f t="shared" si="13"/>
        <v>3.1259724791077373E-2</v>
      </c>
      <c r="J35" s="85">
        <f t="shared" si="13"/>
        <v>6.1313132543212467E-2</v>
      </c>
      <c r="K35" s="85">
        <f t="shared" si="13"/>
        <v>3.3186174931748642E-2</v>
      </c>
      <c r="L35" s="85">
        <f t="shared" si="13"/>
        <v>6.7374183491165252E-2</v>
      </c>
      <c r="M35" s="85">
        <f t="shared" si="13"/>
        <v>5.8606419382615293E-2</v>
      </c>
      <c r="N35" s="85">
        <f t="shared" si="13"/>
        <v>0.12152608517434718</v>
      </c>
      <c r="O35" s="85">
        <f t="shared" si="13"/>
        <v>9.8037583344054852E-2</v>
      </c>
    </row>
    <row r="36" spans="4:15" x14ac:dyDescent="0.3">
      <c r="D36" s="87" t="s">
        <v>97</v>
      </c>
      <c r="E36" s="85">
        <f t="shared" ref="E36:O36" si="14">+E16/E$19</f>
        <v>7.341922354885097E-2</v>
      </c>
      <c r="F36" s="85">
        <f t="shared" si="14"/>
        <v>8.697885252098779E-2</v>
      </c>
      <c r="G36" s="85">
        <f t="shared" si="14"/>
        <v>5.9498707787037849E-2</v>
      </c>
      <c r="H36" s="85">
        <f t="shared" si="14"/>
        <v>8.6677176305615306E-2</v>
      </c>
      <c r="I36" s="85">
        <f t="shared" si="14"/>
        <v>5.8810152253173112E-2</v>
      </c>
      <c r="J36" s="85">
        <f t="shared" si="14"/>
        <v>5.2020844027942749E-2</v>
      </c>
      <c r="K36" s="85">
        <f t="shared" si="14"/>
        <v>2.5397281546230981E-2</v>
      </c>
      <c r="L36" s="85">
        <f t="shared" si="14"/>
        <v>5.9428679901614247E-2</v>
      </c>
      <c r="M36" s="85">
        <f t="shared" si="14"/>
        <v>5.2405597137719501E-2</v>
      </c>
      <c r="N36" s="85">
        <f t="shared" si="14"/>
        <v>9.2783928988761158E-2</v>
      </c>
      <c r="O36" s="85">
        <f t="shared" si="14"/>
        <v>0.17559304915226601</v>
      </c>
    </row>
    <row r="37" spans="4:15" x14ac:dyDescent="0.3">
      <c r="D37" s="87" t="s">
        <v>98</v>
      </c>
      <c r="E37" s="85">
        <f t="shared" ref="E37:O37" si="15">+E17/E$19</f>
        <v>4.1474662896798086E-3</v>
      </c>
      <c r="F37" s="85">
        <f t="shared" si="15"/>
        <v>6.8546045419392273E-3</v>
      </c>
      <c r="G37" s="85">
        <f t="shared" si="15"/>
        <v>0</v>
      </c>
      <c r="H37" s="85">
        <f t="shared" si="15"/>
        <v>3.7775362601188057E-2</v>
      </c>
      <c r="I37" s="85">
        <f t="shared" si="15"/>
        <v>3.9964018720398857E-3</v>
      </c>
      <c r="J37" s="85">
        <f t="shared" si="15"/>
        <v>1.7573585157818088E-2</v>
      </c>
      <c r="K37" s="85">
        <f t="shared" si="15"/>
        <v>0</v>
      </c>
      <c r="L37" s="85">
        <f t="shared" si="15"/>
        <v>2.8793750355584645E-2</v>
      </c>
      <c r="M37" s="85">
        <f t="shared" si="15"/>
        <v>1.5969354484751234E-2</v>
      </c>
      <c r="N37" s="85">
        <f t="shared" si="15"/>
        <v>8.1017390116231464E-2</v>
      </c>
      <c r="O37" s="85">
        <f t="shared" si="15"/>
        <v>1.4581726538618459E-2</v>
      </c>
    </row>
    <row r="38" spans="4:15" x14ac:dyDescent="0.3">
      <c r="D38" s="88" t="s">
        <v>111</v>
      </c>
      <c r="E38" s="89">
        <f>+E18/E$19</f>
        <v>0.20560578671291715</v>
      </c>
      <c r="F38" s="89">
        <f t="shared" ref="F38:O38" si="16">+F18/F$19</f>
        <v>0.2088256908724411</v>
      </c>
      <c r="G38" s="89">
        <f t="shared" si="16"/>
        <v>0.15699254832709941</v>
      </c>
      <c r="H38" s="89">
        <f t="shared" si="16"/>
        <v>0.14921167169784422</v>
      </c>
      <c r="I38" s="89">
        <f t="shared" si="16"/>
        <v>9.4066278916290366E-2</v>
      </c>
      <c r="J38" s="89">
        <f t="shared" si="16"/>
        <v>0.1309075617289733</v>
      </c>
      <c r="K38" s="89">
        <f t="shared" si="16"/>
        <v>5.8583456477979627E-2</v>
      </c>
      <c r="L38" s="89">
        <f t="shared" si="16"/>
        <v>0.15559661374836414</v>
      </c>
      <c r="M38" s="89">
        <f t="shared" si="16"/>
        <v>0.12698137100508602</v>
      </c>
      <c r="N38" s="89">
        <f t="shared" si="16"/>
        <v>0.29532740427933979</v>
      </c>
      <c r="O38" s="89">
        <f t="shared" si="16"/>
        <v>0.2882123590349393</v>
      </c>
    </row>
    <row r="39" spans="4:15" x14ac:dyDescent="0.3">
      <c r="D39" s="91" t="s">
        <v>112</v>
      </c>
      <c r="E39" s="92">
        <f>+E19/E$19</f>
        <v>1</v>
      </c>
      <c r="F39" s="92">
        <f t="shared" ref="F39:O39" si="17">+F19/F$19</f>
        <v>1</v>
      </c>
      <c r="G39" s="92">
        <f t="shared" si="17"/>
        <v>1</v>
      </c>
      <c r="H39" s="92">
        <f t="shared" si="17"/>
        <v>1</v>
      </c>
      <c r="I39" s="92">
        <f t="shared" si="17"/>
        <v>1</v>
      </c>
      <c r="J39" s="92">
        <f t="shared" si="17"/>
        <v>1</v>
      </c>
      <c r="K39" s="92">
        <f t="shared" si="17"/>
        <v>1</v>
      </c>
      <c r="L39" s="92">
        <f t="shared" si="17"/>
        <v>1</v>
      </c>
      <c r="M39" s="92">
        <f t="shared" si="17"/>
        <v>1</v>
      </c>
      <c r="N39" s="92">
        <f t="shared" si="17"/>
        <v>1</v>
      </c>
      <c r="O39" s="92">
        <f t="shared" si="17"/>
        <v>1</v>
      </c>
    </row>
    <row r="40" spans="4:15" x14ac:dyDescent="0.3">
      <c r="F40" s="28"/>
      <c r="I40" s="94"/>
    </row>
    <row r="41" spans="4:15" x14ac:dyDescent="0.3">
      <c r="D41" s="28" t="s">
        <v>121</v>
      </c>
      <c r="F41" s="28"/>
      <c r="I41" s="94"/>
    </row>
    <row r="42" spans="4:15" x14ac:dyDescent="0.3">
      <c r="D42" s="28" t="s">
        <v>122</v>
      </c>
      <c r="F42" s="28"/>
      <c r="I42" s="94"/>
    </row>
    <row r="43" spans="4:15" x14ac:dyDescent="0.3">
      <c r="D43" s="28" t="s">
        <v>123</v>
      </c>
      <c r="F43" s="28"/>
      <c r="I43" s="94"/>
    </row>
    <row r="44" spans="4:15" x14ac:dyDescent="0.3">
      <c r="D44" s="95">
        <v>41008</v>
      </c>
      <c r="F44" s="28"/>
      <c r="I44" s="94"/>
    </row>
  </sheetData>
  <sortState ref="A2:AE32">
    <sortCondition ref="C2:C32"/>
    <sortCondition ref="B2:B32"/>
  </sortState>
  <mergeCells count="3">
    <mergeCell ref="D1:O1"/>
    <mergeCell ref="D2:O2"/>
    <mergeCell ref="D24:O24"/>
  </mergeCells>
  <hyperlinks>
    <hyperlink ref="D1:O1" location="CONTENIDO!A1" display="EMPRESAS DE TRANSPORTE AÉREO PASAJEROS REGULAR NACIONAL   -  COSTOS DE OPERACIÓN POR TIPO DE AERONAVE   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22" workbookViewId="0">
      <selection activeCell="A24" sqref="A24:Q24"/>
    </sheetView>
  </sheetViews>
  <sheetFormatPr baseColWidth="10" defaultRowHeight="14.4" x14ac:dyDescent="0.3"/>
  <cols>
    <col min="1" max="1" width="24.54296875" style="28" customWidth="1"/>
    <col min="2" max="16" width="10.90625" style="28"/>
    <col min="17" max="17" width="10.6328125" style="106" customWidth="1"/>
    <col min="18" max="16384" width="10.90625" style="28"/>
  </cols>
  <sheetData>
    <row r="1" spans="1:17" x14ac:dyDescent="0.3">
      <c r="A1" s="195" t="s">
        <v>482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6"/>
    </row>
    <row r="2" spans="1:17" x14ac:dyDescent="0.3">
      <c r="A2" s="197" t="s">
        <v>471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8"/>
    </row>
    <row r="3" spans="1:17" ht="15" thickBot="1" x14ac:dyDescent="0.35"/>
    <row r="4" spans="1:17" s="119" customFormat="1" ht="15" thickBot="1" x14ac:dyDescent="0.35">
      <c r="A4" s="118" t="s">
        <v>0</v>
      </c>
      <c r="B4" s="118" t="s">
        <v>17</v>
      </c>
      <c r="C4" s="118" t="s">
        <v>3</v>
      </c>
      <c r="D4" s="118" t="s">
        <v>273</v>
      </c>
      <c r="E4" s="118" t="s">
        <v>274</v>
      </c>
      <c r="F4" s="118" t="s">
        <v>277</v>
      </c>
      <c r="G4" s="118" t="s">
        <v>10</v>
      </c>
      <c r="H4" s="118" t="s">
        <v>285</v>
      </c>
      <c r="I4" s="118" t="s">
        <v>286</v>
      </c>
      <c r="J4" s="118" t="s">
        <v>4</v>
      </c>
      <c r="K4" s="118" t="s">
        <v>19</v>
      </c>
      <c r="L4" s="118" t="s">
        <v>435</v>
      </c>
      <c r="M4" s="118" t="s">
        <v>24</v>
      </c>
      <c r="N4" s="118" t="s">
        <v>20</v>
      </c>
      <c r="O4" s="118" t="s">
        <v>438</v>
      </c>
      <c r="P4" s="118" t="s">
        <v>3</v>
      </c>
      <c r="Q4" s="118" t="s">
        <v>295</v>
      </c>
    </row>
    <row r="5" spans="1:17" x14ac:dyDescent="0.3">
      <c r="A5" s="30" t="s">
        <v>87</v>
      </c>
      <c r="B5" s="120">
        <v>836289.71428571432</v>
      </c>
      <c r="C5" s="120">
        <v>892952.16666666663</v>
      </c>
      <c r="D5" s="120">
        <v>1211297.5</v>
      </c>
      <c r="E5" s="120">
        <v>2754169</v>
      </c>
      <c r="F5" s="120">
        <v>2478338</v>
      </c>
      <c r="G5" s="120">
        <v>866939</v>
      </c>
      <c r="H5" s="120">
        <v>2079327</v>
      </c>
      <c r="I5" s="120">
        <v>2249876</v>
      </c>
      <c r="J5" s="120">
        <v>1634917</v>
      </c>
      <c r="K5" s="120">
        <v>1699486</v>
      </c>
      <c r="L5" s="120">
        <v>715333</v>
      </c>
      <c r="M5" s="120">
        <v>543400.33333333337</v>
      </c>
      <c r="N5" s="120">
        <v>1127758</v>
      </c>
      <c r="O5" s="120">
        <v>36227</v>
      </c>
      <c r="P5" s="120">
        <v>622489</v>
      </c>
      <c r="Q5" s="121">
        <v>1692329</v>
      </c>
    </row>
    <row r="6" spans="1:17" x14ac:dyDescent="0.3">
      <c r="A6" s="33" t="s">
        <v>88</v>
      </c>
      <c r="B6" s="56">
        <v>51847.142857142855</v>
      </c>
      <c r="C6" s="56">
        <v>11761.833333333334</v>
      </c>
      <c r="D6" s="56">
        <v>0</v>
      </c>
      <c r="E6" s="56">
        <v>0</v>
      </c>
      <c r="F6" s="56">
        <v>372160</v>
      </c>
      <c r="G6" s="56">
        <v>144732.5</v>
      </c>
      <c r="H6" s="56">
        <v>0</v>
      </c>
      <c r="I6" s="56">
        <v>0</v>
      </c>
      <c r="J6" s="56">
        <v>0</v>
      </c>
      <c r="K6" s="56">
        <v>713468</v>
      </c>
      <c r="L6" s="56">
        <v>21960</v>
      </c>
      <c r="M6" s="56">
        <v>13329.333333333334</v>
      </c>
      <c r="N6" s="56">
        <v>0</v>
      </c>
      <c r="O6" s="56">
        <v>0</v>
      </c>
      <c r="P6" s="56">
        <v>0</v>
      </c>
      <c r="Q6" s="122">
        <v>0</v>
      </c>
    </row>
    <row r="7" spans="1:17" x14ac:dyDescent="0.3">
      <c r="A7" s="33" t="s">
        <v>89</v>
      </c>
      <c r="B7" s="56">
        <v>115826.42857142857</v>
      </c>
      <c r="C7" s="56">
        <v>71709.333333333328</v>
      </c>
      <c r="D7" s="56">
        <v>49185</v>
      </c>
      <c r="E7" s="56">
        <v>123673.5</v>
      </c>
      <c r="F7" s="56">
        <v>86991</v>
      </c>
      <c r="G7" s="56">
        <v>42459</v>
      </c>
      <c r="H7" s="56">
        <v>23652</v>
      </c>
      <c r="I7" s="56">
        <v>30370.5</v>
      </c>
      <c r="J7" s="56">
        <v>69856</v>
      </c>
      <c r="K7" s="56">
        <v>20416</v>
      </c>
      <c r="L7" s="56">
        <v>211549</v>
      </c>
      <c r="M7" s="56">
        <v>103608</v>
      </c>
      <c r="N7" s="56">
        <v>358464</v>
      </c>
      <c r="O7" s="56">
        <v>170780</v>
      </c>
      <c r="P7" s="56">
        <v>0</v>
      </c>
      <c r="Q7" s="122">
        <v>491577</v>
      </c>
    </row>
    <row r="8" spans="1:17" x14ac:dyDescent="0.3">
      <c r="A8" s="33" t="s">
        <v>90</v>
      </c>
      <c r="B8" s="56">
        <v>1068281.2857142857</v>
      </c>
      <c r="C8" s="56">
        <v>1368196.8333333333</v>
      </c>
      <c r="D8" s="56">
        <v>2373608.5</v>
      </c>
      <c r="E8" s="56">
        <v>2026875</v>
      </c>
      <c r="F8" s="56">
        <v>3288777.5</v>
      </c>
      <c r="G8" s="56">
        <v>1887954.5</v>
      </c>
      <c r="H8" s="56">
        <v>1072271</v>
      </c>
      <c r="I8" s="56">
        <v>1345354.5</v>
      </c>
      <c r="J8" s="56">
        <v>2283479</v>
      </c>
      <c r="K8" s="56">
        <v>1531031</v>
      </c>
      <c r="L8" s="56">
        <v>652280</v>
      </c>
      <c r="M8" s="56">
        <v>2254142</v>
      </c>
      <c r="N8" s="56">
        <v>1048442</v>
      </c>
      <c r="O8" s="56">
        <v>778429</v>
      </c>
      <c r="P8" s="56">
        <v>813202</v>
      </c>
      <c r="Q8" s="122">
        <v>4384435</v>
      </c>
    </row>
    <row r="9" spans="1:17" x14ac:dyDescent="0.3">
      <c r="A9" s="33" t="s">
        <v>91</v>
      </c>
      <c r="B9" s="56">
        <v>1906735.2857142857</v>
      </c>
      <c r="C9" s="56">
        <v>1924686.3333333333</v>
      </c>
      <c r="D9" s="56">
        <v>1733070</v>
      </c>
      <c r="E9" s="56">
        <v>2072312</v>
      </c>
      <c r="F9" s="56">
        <v>3139105.5</v>
      </c>
      <c r="G9" s="56">
        <v>475569.5</v>
      </c>
      <c r="H9" s="56">
        <v>637154</v>
      </c>
      <c r="I9" s="56">
        <v>849533.5</v>
      </c>
      <c r="J9" s="56">
        <v>2368814</v>
      </c>
      <c r="K9" s="56">
        <v>1722142</v>
      </c>
      <c r="L9" s="56">
        <v>2558012</v>
      </c>
      <c r="M9" s="56">
        <v>666346</v>
      </c>
      <c r="N9" s="56">
        <v>2601200</v>
      </c>
      <c r="O9" s="56">
        <v>364417</v>
      </c>
      <c r="P9" s="56">
        <v>77929</v>
      </c>
      <c r="Q9" s="122">
        <v>180429</v>
      </c>
    </row>
    <row r="10" spans="1:17" x14ac:dyDescent="0.3">
      <c r="A10" s="33" t="s">
        <v>92</v>
      </c>
      <c r="B10" s="56">
        <v>487106</v>
      </c>
      <c r="C10" s="56">
        <v>410332.16666666669</v>
      </c>
      <c r="D10" s="56">
        <v>383232.5</v>
      </c>
      <c r="E10" s="56">
        <v>925589</v>
      </c>
      <c r="F10" s="56">
        <v>1831303.5</v>
      </c>
      <c r="G10" s="56">
        <v>427491.5</v>
      </c>
      <c r="H10" s="56">
        <v>424369</v>
      </c>
      <c r="I10" s="56">
        <v>431349.5</v>
      </c>
      <c r="J10" s="56">
        <v>866794</v>
      </c>
      <c r="K10" s="56">
        <v>798780</v>
      </c>
      <c r="L10" s="56">
        <v>549219</v>
      </c>
      <c r="M10" s="56">
        <v>362113.33333333331</v>
      </c>
      <c r="N10" s="56">
        <v>403661</v>
      </c>
      <c r="O10" s="56">
        <v>409946</v>
      </c>
      <c r="P10" s="56">
        <v>925737</v>
      </c>
      <c r="Q10" s="122">
        <v>206334</v>
      </c>
    </row>
    <row r="11" spans="1:17" x14ac:dyDescent="0.3">
      <c r="A11" s="33" t="s">
        <v>93</v>
      </c>
      <c r="B11" s="56">
        <v>2855785</v>
      </c>
      <c r="C11" s="56">
        <v>3746478</v>
      </c>
      <c r="D11" s="56">
        <v>6032188</v>
      </c>
      <c r="E11" s="56">
        <v>10633484</v>
      </c>
      <c r="F11" s="56">
        <v>14381327.5</v>
      </c>
      <c r="G11" s="56">
        <v>2746045.25</v>
      </c>
      <c r="H11" s="56">
        <v>4617063</v>
      </c>
      <c r="I11" s="56">
        <v>3291167</v>
      </c>
      <c r="J11" s="56">
        <v>7580215</v>
      </c>
      <c r="K11" s="56">
        <v>8631017</v>
      </c>
      <c r="L11" s="56">
        <v>1043725</v>
      </c>
      <c r="M11" s="56">
        <v>2146000</v>
      </c>
      <c r="N11" s="56">
        <v>4483332</v>
      </c>
      <c r="O11" s="56">
        <v>768970</v>
      </c>
      <c r="P11" s="56">
        <v>7487472</v>
      </c>
      <c r="Q11" s="122">
        <v>5811778</v>
      </c>
    </row>
    <row r="12" spans="1:17" x14ac:dyDescent="0.3">
      <c r="A12" s="60" t="s">
        <v>134</v>
      </c>
      <c r="B12" s="61">
        <v>2403</v>
      </c>
      <c r="C12" s="61">
        <v>103093</v>
      </c>
      <c r="D12" s="61">
        <v>0</v>
      </c>
      <c r="E12" s="61">
        <v>138592.5</v>
      </c>
      <c r="F12" s="61">
        <v>1621138.5</v>
      </c>
      <c r="G12" s="61">
        <v>160733.75</v>
      </c>
      <c r="H12" s="61">
        <v>184700</v>
      </c>
      <c r="I12" s="61">
        <v>8426</v>
      </c>
      <c r="J12" s="61">
        <v>0</v>
      </c>
      <c r="K12" s="61">
        <v>0</v>
      </c>
      <c r="L12" s="61">
        <v>1007551</v>
      </c>
      <c r="M12" s="61">
        <v>483671.33333333331</v>
      </c>
      <c r="N12" s="61">
        <v>0</v>
      </c>
      <c r="O12" s="61">
        <v>0</v>
      </c>
      <c r="P12" s="61">
        <v>0</v>
      </c>
      <c r="Q12" s="123">
        <v>580954</v>
      </c>
    </row>
    <row r="13" spans="1:17" ht="15" thickBot="1" x14ac:dyDescent="0.35">
      <c r="A13" s="68" t="s">
        <v>95</v>
      </c>
      <c r="B13" s="69">
        <v>722749.85714285716</v>
      </c>
      <c r="C13" s="69">
        <v>965028</v>
      </c>
      <c r="D13" s="69">
        <v>2834004.5</v>
      </c>
      <c r="E13" s="69">
        <v>1793597</v>
      </c>
      <c r="F13" s="69">
        <v>1035686</v>
      </c>
      <c r="G13" s="69">
        <v>552345.75</v>
      </c>
      <c r="H13" s="69">
        <v>1205271</v>
      </c>
      <c r="I13" s="69">
        <v>877096</v>
      </c>
      <c r="J13" s="69">
        <v>2776515</v>
      </c>
      <c r="K13" s="69">
        <v>2087826</v>
      </c>
      <c r="L13" s="69">
        <v>0</v>
      </c>
      <c r="M13" s="69">
        <v>499713</v>
      </c>
      <c r="N13" s="69">
        <v>1152248</v>
      </c>
      <c r="O13" s="69">
        <v>0</v>
      </c>
      <c r="P13" s="69">
        <v>0</v>
      </c>
      <c r="Q13" s="124">
        <v>793226</v>
      </c>
    </row>
    <row r="14" spans="1:17" s="111" customFormat="1" ht="15" thickBot="1" x14ac:dyDescent="0.35">
      <c r="A14" s="125" t="s">
        <v>470</v>
      </c>
      <c r="B14" s="126">
        <f>SUM(B5:B12)</f>
        <v>7324273.8571428573</v>
      </c>
      <c r="C14" s="126">
        <f t="shared" ref="C14:Q14" si="0">SUM(C5:C12)</f>
        <v>8529209.6666666679</v>
      </c>
      <c r="D14" s="126">
        <f t="shared" si="0"/>
        <v>11782581.5</v>
      </c>
      <c r="E14" s="126">
        <f t="shared" si="0"/>
        <v>18674695</v>
      </c>
      <c r="F14" s="126">
        <f t="shared" si="0"/>
        <v>27199141.5</v>
      </c>
      <c r="G14" s="126">
        <f t="shared" si="0"/>
        <v>6751925</v>
      </c>
      <c r="H14" s="126">
        <f t="shared" si="0"/>
        <v>9038536</v>
      </c>
      <c r="I14" s="126">
        <f t="shared" si="0"/>
        <v>8206077</v>
      </c>
      <c r="J14" s="126">
        <f t="shared" si="0"/>
        <v>14804075</v>
      </c>
      <c r="K14" s="126">
        <f t="shared" si="0"/>
        <v>15116340</v>
      </c>
      <c r="L14" s="126">
        <f t="shared" si="0"/>
        <v>6759629</v>
      </c>
      <c r="M14" s="126">
        <f t="shared" si="0"/>
        <v>6572610.333333333</v>
      </c>
      <c r="N14" s="126">
        <f t="shared" si="0"/>
        <v>10022857</v>
      </c>
      <c r="O14" s="126">
        <f t="shared" si="0"/>
        <v>2528769</v>
      </c>
      <c r="P14" s="126">
        <f t="shared" si="0"/>
        <v>9926829</v>
      </c>
      <c r="Q14" s="127">
        <f t="shared" si="0"/>
        <v>13347836</v>
      </c>
    </row>
    <row r="15" spans="1:17" x14ac:dyDescent="0.3">
      <c r="A15" s="33" t="s">
        <v>128</v>
      </c>
      <c r="B15" s="56">
        <v>1426727.2857142857</v>
      </c>
      <c r="C15" s="56">
        <v>1682436</v>
      </c>
      <c r="D15" s="56">
        <v>1838897.5</v>
      </c>
      <c r="E15" s="56">
        <v>2033505</v>
      </c>
      <c r="F15" s="56">
        <v>1222152.5</v>
      </c>
      <c r="G15" s="56">
        <v>939140</v>
      </c>
      <c r="H15" s="56">
        <v>363601</v>
      </c>
      <c r="I15" s="56">
        <v>1008970</v>
      </c>
      <c r="J15" s="56">
        <v>1688720</v>
      </c>
      <c r="K15" s="56">
        <v>2357252</v>
      </c>
      <c r="L15" s="56">
        <v>1833200</v>
      </c>
      <c r="M15" s="56">
        <v>2051880.3333333333</v>
      </c>
      <c r="N15" s="56">
        <v>0</v>
      </c>
      <c r="O15" s="56">
        <v>532763</v>
      </c>
      <c r="P15" s="56">
        <v>1160795</v>
      </c>
      <c r="Q15" s="122">
        <v>2512257</v>
      </c>
    </row>
    <row r="16" spans="1:17" x14ac:dyDescent="0.3">
      <c r="A16" s="33" t="s">
        <v>97</v>
      </c>
      <c r="B16" s="56">
        <v>1791683.7142857143</v>
      </c>
      <c r="C16" s="56">
        <v>899778</v>
      </c>
      <c r="D16" s="56">
        <v>885290.5</v>
      </c>
      <c r="E16" s="56">
        <v>1625423.5</v>
      </c>
      <c r="F16" s="56">
        <v>1807903</v>
      </c>
      <c r="G16" s="56">
        <v>1369247.25</v>
      </c>
      <c r="H16" s="56">
        <v>288799</v>
      </c>
      <c r="I16" s="56">
        <v>2290023.5</v>
      </c>
      <c r="J16" s="56">
        <v>1216069</v>
      </c>
      <c r="K16" s="56">
        <v>2374222</v>
      </c>
      <c r="L16" s="56">
        <v>614596</v>
      </c>
      <c r="M16" s="56">
        <v>1803030</v>
      </c>
      <c r="N16" s="56">
        <v>0</v>
      </c>
      <c r="O16" s="56">
        <v>815831</v>
      </c>
      <c r="P16" s="56">
        <v>1867752</v>
      </c>
      <c r="Q16" s="122">
        <v>1991131</v>
      </c>
    </row>
    <row r="17" spans="1:17" ht="15" thickBot="1" x14ac:dyDescent="0.35">
      <c r="A17" s="60" t="s">
        <v>98</v>
      </c>
      <c r="B17" s="61">
        <v>31703</v>
      </c>
      <c r="C17" s="61">
        <v>81583</v>
      </c>
      <c r="D17" s="61">
        <v>0</v>
      </c>
      <c r="E17" s="61">
        <v>947925</v>
      </c>
      <c r="F17" s="61">
        <v>207052</v>
      </c>
      <c r="G17" s="61">
        <v>240426.5</v>
      </c>
      <c r="H17" s="61">
        <v>0</v>
      </c>
      <c r="I17" s="61">
        <v>796517</v>
      </c>
      <c r="J17" s="61">
        <v>997108</v>
      </c>
      <c r="K17" s="61">
        <v>0</v>
      </c>
      <c r="L17" s="61">
        <v>0</v>
      </c>
      <c r="M17" s="61">
        <v>48907.666666666664</v>
      </c>
      <c r="N17" s="61">
        <v>0</v>
      </c>
      <c r="O17" s="61">
        <v>103379</v>
      </c>
      <c r="P17" s="61">
        <v>87804</v>
      </c>
      <c r="Q17" s="123">
        <v>1674838</v>
      </c>
    </row>
    <row r="18" spans="1:17" s="111" customFormat="1" ht="15" thickBot="1" x14ac:dyDescent="0.35">
      <c r="A18" s="125" t="s">
        <v>111</v>
      </c>
      <c r="B18" s="126">
        <f t="shared" ref="B18:Q18" si="1">SUM(B13:B17)</f>
        <v>11297137.714285715</v>
      </c>
      <c r="C18" s="126">
        <f t="shared" si="1"/>
        <v>12158034.666666668</v>
      </c>
      <c r="D18" s="126">
        <f t="shared" si="1"/>
        <v>17340774</v>
      </c>
      <c r="E18" s="126">
        <f t="shared" si="1"/>
        <v>25075145.5</v>
      </c>
      <c r="F18" s="126">
        <f t="shared" si="1"/>
        <v>31471935</v>
      </c>
      <c r="G18" s="126">
        <f t="shared" si="1"/>
        <v>9853084.5</v>
      </c>
      <c r="H18" s="126">
        <f t="shared" si="1"/>
        <v>10896207</v>
      </c>
      <c r="I18" s="126">
        <f t="shared" si="1"/>
        <v>13178683.5</v>
      </c>
      <c r="J18" s="126">
        <f t="shared" si="1"/>
        <v>21482487</v>
      </c>
      <c r="K18" s="126">
        <f t="shared" si="1"/>
        <v>21935640</v>
      </c>
      <c r="L18" s="126">
        <f t="shared" si="1"/>
        <v>9207425</v>
      </c>
      <c r="M18" s="126">
        <f t="shared" si="1"/>
        <v>10976141.333333332</v>
      </c>
      <c r="N18" s="126">
        <f t="shared" si="1"/>
        <v>11175105</v>
      </c>
      <c r="O18" s="126">
        <f t="shared" si="1"/>
        <v>3980742</v>
      </c>
      <c r="P18" s="126">
        <f t="shared" si="1"/>
        <v>13043180</v>
      </c>
      <c r="Q18" s="127">
        <f t="shared" si="1"/>
        <v>20319288</v>
      </c>
    </row>
    <row r="19" spans="1:17" s="111" customFormat="1" ht="15" thickBot="1" x14ac:dyDescent="0.35">
      <c r="A19" s="128" t="s">
        <v>86</v>
      </c>
      <c r="B19" s="129">
        <f>+B14+B18</f>
        <v>18621411.571428571</v>
      </c>
      <c r="C19" s="129">
        <f t="shared" ref="C19:Q19" si="2">+C14+C18</f>
        <v>20687244.333333336</v>
      </c>
      <c r="D19" s="129">
        <f t="shared" si="2"/>
        <v>29123355.5</v>
      </c>
      <c r="E19" s="129">
        <f t="shared" si="2"/>
        <v>43749840.5</v>
      </c>
      <c r="F19" s="129">
        <f t="shared" si="2"/>
        <v>58671076.5</v>
      </c>
      <c r="G19" s="129">
        <f t="shared" si="2"/>
        <v>16605009.5</v>
      </c>
      <c r="H19" s="129">
        <f t="shared" si="2"/>
        <v>19934743</v>
      </c>
      <c r="I19" s="129">
        <f t="shared" si="2"/>
        <v>21384760.5</v>
      </c>
      <c r="J19" s="129">
        <f t="shared" si="2"/>
        <v>36286562</v>
      </c>
      <c r="K19" s="129">
        <f t="shared" si="2"/>
        <v>37051980</v>
      </c>
      <c r="L19" s="129">
        <f t="shared" si="2"/>
        <v>15967054</v>
      </c>
      <c r="M19" s="129">
        <f t="shared" si="2"/>
        <v>17548751.666666664</v>
      </c>
      <c r="N19" s="129">
        <f t="shared" si="2"/>
        <v>21197962</v>
      </c>
      <c r="O19" s="129">
        <f t="shared" si="2"/>
        <v>6509511</v>
      </c>
      <c r="P19" s="129">
        <f t="shared" si="2"/>
        <v>22970009</v>
      </c>
      <c r="Q19" s="129">
        <f t="shared" si="2"/>
        <v>33667124</v>
      </c>
    </row>
    <row r="20" spans="1:17" x14ac:dyDescent="0.3">
      <c r="A20" s="68" t="s">
        <v>1</v>
      </c>
      <c r="B20" s="69">
        <v>10843</v>
      </c>
      <c r="C20" s="69">
        <v>4184</v>
      </c>
      <c r="D20" s="69">
        <v>54</v>
      </c>
      <c r="E20" s="69">
        <v>6328</v>
      </c>
      <c r="F20" s="69">
        <v>5898</v>
      </c>
      <c r="G20" s="69">
        <v>4632</v>
      </c>
      <c r="H20" s="69">
        <v>589</v>
      </c>
      <c r="I20" s="69">
        <v>7493</v>
      </c>
      <c r="J20" s="69">
        <v>63</v>
      </c>
      <c r="K20" s="69">
        <v>1826</v>
      </c>
      <c r="L20" s="69">
        <v>2</v>
      </c>
      <c r="M20" s="69">
        <v>2314</v>
      </c>
      <c r="N20" s="69">
        <v>934</v>
      </c>
      <c r="O20" s="69">
        <v>666</v>
      </c>
      <c r="P20" s="69">
        <v>589</v>
      </c>
      <c r="Q20" s="124">
        <v>727</v>
      </c>
    </row>
    <row r="21" spans="1:17" x14ac:dyDescent="0.3">
      <c r="A21" s="33" t="s">
        <v>2</v>
      </c>
      <c r="B21" s="56">
        <v>3980</v>
      </c>
      <c r="C21" s="56">
        <v>1935</v>
      </c>
      <c r="D21" s="56">
        <v>18</v>
      </c>
      <c r="E21" s="56">
        <v>504</v>
      </c>
      <c r="F21" s="56">
        <v>563</v>
      </c>
      <c r="G21" s="56">
        <v>1086</v>
      </c>
      <c r="H21" s="56">
        <v>125</v>
      </c>
      <c r="I21" s="56">
        <v>1679</v>
      </c>
      <c r="J21" s="56">
        <v>12</v>
      </c>
      <c r="K21" s="56">
        <v>218</v>
      </c>
      <c r="L21" s="56">
        <v>2</v>
      </c>
      <c r="M21" s="56">
        <v>1353</v>
      </c>
      <c r="N21" s="56">
        <v>24</v>
      </c>
      <c r="O21" s="56">
        <v>28</v>
      </c>
      <c r="P21" s="56">
        <v>184</v>
      </c>
      <c r="Q21" s="122">
        <v>102</v>
      </c>
    </row>
    <row r="22" spans="1:17" ht="15" thickBot="1" x14ac:dyDescent="0.35">
      <c r="A22" s="77" t="s">
        <v>85</v>
      </c>
      <c r="B22" s="78">
        <v>50</v>
      </c>
      <c r="C22" s="78">
        <v>10</v>
      </c>
      <c r="D22" s="78">
        <v>2</v>
      </c>
      <c r="E22" s="78">
        <v>16</v>
      </c>
      <c r="F22" s="78">
        <v>48</v>
      </c>
      <c r="G22" s="78">
        <v>3</v>
      </c>
      <c r="H22" s="78">
        <v>2</v>
      </c>
      <c r="I22" s="78">
        <v>6</v>
      </c>
      <c r="J22" s="78">
        <v>1</v>
      </c>
      <c r="K22" s="78">
        <v>1</v>
      </c>
      <c r="L22" s="78">
        <v>2</v>
      </c>
      <c r="M22" s="78">
        <v>6</v>
      </c>
      <c r="N22" s="78">
        <v>2</v>
      </c>
      <c r="O22" s="78">
        <v>2</v>
      </c>
      <c r="P22" s="78">
        <v>1</v>
      </c>
      <c r="Q22" s="130">
        <v>5</v>
      </c>
    </row>
    <row r="24" spans="1:17" ht="15" thickBot="1" x14ac:dyDescent="0.35">
      <c r="A24" s="199" t="s">
        <v>118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</row>
    <row r="25" spans="1:17" x14ac:dyDescent="0.3">
      <c r="A25" s="48" t="s">
        <v>87</v>
      </c>
      <c r="B25" s="85">
        <f t="shared" ref="B25:N25" si="3">+B5/B$19</f>
        <v>4.4910113880349462E-2</v>
      </c>
      <c r="C25" s="85">
        <f t="shared" si="3"/>
        <v>4.3164384404154481E-2</v>
      </c>
      <c r="D25" s="85">
        <f t="shared" si="3"/>
        <v>4.159196216246442E-2</v>
      </c>
      <c r="E25" s="85">
        <f t="shared" si="3"/>
        <v>6.2952663793140004E-2</v>
      </c>
      <c r="F25" s="85">
        <f t="shared" si="3"/>
        <v>4.2241222555376157E-2</v>
      </c>
      <c r="G25" s="85">
        <f t="shared" si="3"/>
        <v>5.2209485336337805E-2</v>
      </c>
      <c r="H25" s="85">
        <f t="shared" si="3"/>
        <v>0.10430668707391914</v>
      </c>
      <c r="I25" s="85">
        <f t="shared" si="3"/>
        <v>0.10520931482959558</v>
      </c>
      <c r="J25" s="85">
        <f t="shared" si="3"/>
        <v>4.5055715115694894E-2</v>
      </c>
      <c r="K25" s="86">
        <f t="shared" si="3"/>
        <v>4.5867616251547151E-2</v>
      </c>
      <c r="L25" s="86">
        <f t="shared" si="3"/>
        <v>4.4800562458171683E-2</v>
      </c>
      <c r="M25" s="85">
        <f t="shared" si="3"/>
        <v>3.0965184513124445E-2</v>
      </c>
      <c r="N25" s="85">
        <f t="shared" si="3"/>
        <v>5.3201246421707898E-2</v>
      </c>
      <c r="O25" s="85">
        <f t="shared" ref="O25:Q25" si="4">+O5/O$19</f>
        <v>5.565241382954879E-3</v>
      </c>
      <c r="P25" s="85">
        <f t="shared" si="4"/>
        <v>2.7100076451863818E-2</v>
      </c>
      <c r="Q25" s="85">
        <f t="shared" si="4"/>
        <v>5.0266515191496608E-2</v>
      </c>
    </row>
    <row r="26" spans="1:17" x14ac:dyDescent="0.3">
      <c r="A26" s="87" t="s">
        <v>88</v>
      </c>
      <c r="B26" s="85">
        <f t="shared" ref="B26:M26" si="5">+B6/B$19</f>
        <v>2.7842756526950722E-3</v>
      </c>
      <c r="C26" s="85">
        <f t="shared" si="5"/>
        <v>5.6855486133460041E-4</v>
      </c>
      <c r="D26" s="85">
        <f t="shared" si="5"/>
        <v>0</v>
      </c>
      <c r="E26" s="85">
        <f t="shared" si="5"/>
        <v>0</v>
      </c>
      <c r="F26" s="85">
        <f t="shared" si="5"/>
        <v>6.3431595634690632E-3</v>
      </c>
      <c r="G26" s="85">
        <f t="shared" si="5"/>
        <v>8.7161949530953301E-3</v>
      </c>
      <c r="H26" s="85">
        <f t="shared" si="5"/>
        <v>0</v>
      </c>
      <c r="I26" s="85">
        <f t="shared" si="5"/>
        <v>0</v>
      </c>
      <c r="J26" s="85">
        <f t="shared" si="5"/>
        <v>0</v>
      </c>
      <c r="K26" s="86">
        <f t="shared" si="5"/>
        <v>1.9255867027888927E-2</v>
      </c>
      <c r="L26" s="86">
        <f t="shared" si="5"/>
        <v>1.3753319804642734E-3</v>
      </c>
      <c r="M26" s="85">
        <f t="shared" si="5"/>
        <v>7.5956020043590957E-4</v>
      </c>
      <c r="N26" s="85">
        <f t="shared" ref="N26:Q26" si="6">+N6/N$19</f>
        <v>0</v>
      </c>
      <c r="O26" s="85">
        <f t="shared" si="6"/>
        <v>0</v>
      </c>
      <c r="P26" s="85">
        <f t="shared" si="6"/>
        <v>0</v>
      </c>
      <c r="Q26" s="85">
        <f t="shared" si="6"/>
        <v>0</v>
      </c>
    </row>
    <row r="27" spans="1:17" x14ac:dyDescent="0.3">
      <c r="A27" s="87" t="s">
        <v>89</v>
      </c>
      <c r="B27" s="85">
        <f t="shared" ref="B27:M27" si="7">+B7/B$19</f>
        <v>6.2200670516914395E-3</v>
      </c>
      <c r="C27" s="85">
        <f t="shared" si="7"/>
        <v>3.466355024278809E-3</v>
      </c>
      <c r="D27" s="85">
        <f t="shared" si="7"/>
        <v>1.6888507232622973E-3</v>
      </c>
      <c r="E27" s="85">
        <f t="shared" si="7"/>
        <v>2.8268331629689026E-3</v>
      </c>
      <c r="F27" s="85">
        <f t="shared" si="7"/>
        <v>1.4826896861181676E-3</v>
      </c>
      <c r="G27" s="85">
        <f t="shared" si="7"/>
        <v>2.5569994404399466E-3</v>
      </c>
      <c r="H27" s="85">
        <f t="shared" si="7"/>
        <v>1.1864712778087985E-3</v>
      </c>
      <c r="I27" s="85">
        <f t="shared" si="7"/>
        <v>1.4201936000171711E-3</v>
      </c>
      <c r="J27" s="85">
        <f t="shared" si="7"/>
        <v>1.9251203792742888E-3</v>
      </c>
      <c r="K27" s="86">
        <f t="shared" si="7"/>
        <v>5.5100968963062158E-4</v>
      </c>
      <c r="L27" s="86">
        <f t="shared" si="7"/>
        <v>1.3249094040766693E-2</v>
      </c>
      <c r="M27" s="85">
        <f t="shared" si="7"/>
        <v>5.9040096964162033E-3</v>
      </c>
      <c r="N27" s="85">
        <f t="shared" ref="N27:Q27" si="8">+N7/N$19</f>
        <v>1.6910304867986836E-2</v>
      </c>
      <c r="O27" s="85">
        <f t="shared" si="8"/>
        <v>2.6235457625004396E-2</v>
      </c>
      <c r="P27" s="85">
        <f t="shared" si="8"/>
        <v>0</v>
      </c>
      <c r="Q27" s="85">
        <f t="shared" si="8"/>
        <v>1.4601098686065373E-2</v>
      </c>
    </row>
    <row r="28" spans="1:17" x14ac:dyDescent="0.3">
      <c r="A28" s="87" t="s">
        <v>90</v>
      </c>
      <c r="B28" s="85">
        <f t="shared" ref="B28:M28" si="9">+B8/B$19</f>
        <v>5.7368437490173084E-2</v>
      </c>
      <c r="C28" s="85">
        <f t="shared" si="9"/>
        <v>6.6137220177206454E-2</v>
      </c>
      <c r="D28" s="85">
        <f t="shared" si="9"/>
        <v>8.1501889437156375E-2</v>
      </c>
      <c r="E28" s="85">
        <f t="shared" si="9"/>
        <v>4.6328740329921889E-2</v>
      </c>
      <c r="F28" s="85">
        <f t="shared" si="9"/>
        <v>5.6054493903823291E-2</v>
      </c>
      <c r="G28" s="85">
        <f t="shared" si="9"/>
        <v>0.11369788737549352</v>
      </c>
      <c r="H28" s="85">
        <f t="shared" si="9"/>
        <v>5.3789055620130144E-2</v>
      </c>
      <c r="I28" s="85">
        <f t="shared" si="9"/>
        <v>6.2911833873472656E-2</v>
      </c>
      <c r="J28" s="85">
        <f t="shared" si="9"/>
        <v>6.2929053460617182E-2</v>
      </c>
      <c r="K28" s="86">
        <f t="shared" si="9"/>
        <v>4.1321165562542138E-2</v>
      </c>
      <c r="L28" s="86">
        <f t="shared" si="9"/>
        <v>4.0851618589127336E-2</v>
      </c>
      <c r="M28" s="85">
        <f t="shared" si="9"/>
        <v>0.12845027628270997</v>
      </c>
      <c r="N28" s="85">
        <f t="shared" ref="N28:Q28" si="10">+N8/N$19</f>
        <v>4.9459565971483488E-2</v>
      </c>
      <c r="O28" s="85">
        <f t="shared" si="10"/>
        <v>0.11958332968482578</v>
      </c>
      <c r="P28" s="85">
        <f t="shared" si="10"/>
        <v>3.5402772371573736E-2</v>
      </c>
      <c r="Q28" s="85">
        <f t="shared" si="10"/>
        <v>0.13022897352325075</v>
      </c>
    </row>
    <row r="29" spans="1:17" x14ac:dyDescent="0.3">
      <c r="A29" s="87" t="s">
        <v>91</v>
      </c>
      <c r="B29" s="85">
        <f t="shared" ref="B29:M29" si="11">+B9/B$19</f>
        <v>0.10239477702323334</v>
      </c>
      <c r="C29" s="85">
        <f t="shared" si="11"/>
        <v>9.3037347184616953E-2</v>
      </c>
      <c r="D29" s="85">
        <f t="shared" si="11"/>
        <v>5.9507909382213876E-2</v>
      </c>
      <c r="E29" s="85">
        <f t="shared" si="11"/>
        <v>4.736730411622872E-2</v>
      </c>
      <c r="F29" s="85">
        <f t="shared" si="11"/>
        <v>5.3503458386348172E-2</v>
      </c>
      <c r="G29" s="85">
        <f t="shared" si="11"/>
        <v>2.8640122127000289E-2</v>
      </c>
      <c r="H29" s="85">
        <f t="shared" si="11"/>
        <v>3.19619871698371E-2</v>
      </c>
      <c r="I29" s="85">
        <f t="shared" si="11"/>
        <v>3.9726117110359969E-2</v>
      </c>
      <c r="J29" s="85">
        <f t="shared" si="11"/>
        <v>6.528075048829371E-2</v>
      </c>
      <c r="K29" s="86">
        <f t="shared" si="11"/>
        <v>4.6479081549757932E-2</v>
      </c>
      <c r="L29" s="86">
        <f t="shared" si="11"/>
        <v>0.16020563342492611</v>
      </c>
      <c r="M29" s="85">
        <f t="shared" si="11"/>
        <v>3.7971133939156743E-2</v>
      </c>
      <c r="N29" s="85">
        <f t="shared" ref="N29:Q29" si="12">+N9/N$19</f>
        <v>0.12270990956583468</v>
      </c>
      <c r="O29" s="85">
        <f t="shared" si="12"/>
        <v>5.5982238911647893E-2</v>
      </c>
      <c r="P29" s="85">
        <f t="shared" si="12"/>
        <v>3.3926412479855796E-3</v>
      </c>
      <c r="Q29" s="85">
        <f t="shared" si="12"/>
        <v>5.3592044274408468E-3</v>
      </c>
    </row>
    <row r="30" spans="1:17" x14ac:dyDescent="0.3">
      <c r="A30" s="87" t="s">
        <v>92</v>
      </c>
      <c r="B30" s="85">
        <f t="shared" ref="B30:M30" si="13">+B10/B$19</f>
        <v>2.6158382146892794E-2</v>
      </c>
      <c r="C30" s="85">
        <f t="shared" si="13"/>
        <v>1.9835032644028808E-2</v>
      </c>
      <c r="D30" s="85">
        <f t="shared" si="13"/>
        <v>1.3158940424979532E-2</v>
      </c>
      <c r="E30" s="85">
        <f t="shared" si="13"/>
        <v>2.1156397130179253E-2</v>
      </c>
      <c r="F30" s="85">
        <f t="shared" si="13"/>
        <v>3.1213054357371473E-2</v>
      </c>
      <c r="G30" s="85">
        <f t="shared" si="13"/>
        <v>2.5744730829572848E-2</v>
      </c>
      <c r="H30" s="85">
        <f t="shared" si="13"/>
        <v>2.1287909254711735E-2</v>
      </c>
      <c r="I30" s="85">
        <f t="shared" si="13"/>
        <v>2.0170882905141723E-2</v>
      </c>
      <c r="J30" s="85">
        <f t="shared" si="13"/>
        <v>2.3887465558186525E-2</v>
      </c>
      <c r="K30" s="86">
        <f t="shared" si="13"/>
        <v>2.1558362063241965E-2</v>
      </c>
      <c r="L30" s="86">
        <f t="shared" si="13"/>
        <v>3.4397015254034963E-2</v>
      </c>
      <c r="M30" s="85">
        <f t="shared" si="13"/>
        <v>2.0634706115373262E-2</v>
      </c>
      <c r="N30" s="85">
        <f t="shared" ref="N30:Q30" si="14">+N10/N$19</f>
        <v>1.9042443797191447E-2</v>
      </c>
      <c r="O30" s="85">
        <f t="shared" si="14"/>
        <v>6.2976466281414997E-2</v>
      </c>
      <c r="P30" s="85">
        <f t="shared" si="14"/>
        <v>4.0301986821163198E-2</v>
      </c>
      <c r="Q30" s="85">
        <f t="shared" si="14"/>
        <v>6.1286494207227205E-3</v>
      </c>
    </row>
    <row r="31" spans="1:17" x14ac:dyDescent="0.3">
      <c r="A31" s="87" t="s">
        <v>93</v>
      </c>
      <c r="B31" s="85">
        <f t="shared" ref="B31:M31" si="15">+B11/B$19</f>
        <v>0.15336028576811667</v>
      </c>
      <c r="C31" s="85">
        <f t="shared" si="15"/>
        <v>0.18110087257795393</v>
      </c>
      <c r="D31" s="85">
        <f t="shared" si="15"/>
        <v>0.20712544610458777</v>
      </c>
      <c r="E31" s="85">
        <f t="shared" si="15"/>
        <v>0.24305194895510535</v>
      </c>
      <c r="F31" s="85">
        <f t="shared" si="15"/>
        <v>0.24511783928150696</v>
      </c>
      <c r="G31" s="85">
        <f t="shared" si="15"/>
        <v>0.16537450641024926</v>
      </c>
      <c r="H31" s="85">
        <f t="shared" si="15"/>
        <v>0.23160885495238137</v>
      </c>
      <c r="I31" s="85">
        <f t="shared" si="15"/>
        <v>0.15390244842816922</v>
      </c>
      <c r="J31" s="85">
        <f t="shared" si="15"/>
        <v>0.20889868265833506</v>
      </c>
      <c r="K31" s="86">
        <f t="shared" si="15"/>
        <v>0.23294347562532422</v>
      </c>
      <c r="L31" s="86">
        <f t="shared" si="15"/>
        <v>6.5367412172589887E-2</v>
      </c>
      <c r="M31" s="85">
        <f t="shared" si="15"/>
        <v>0.12228790063034875</v>
      </c>
      <c r="N31" s="85">
        <f t="shared" ref="N31:Q31" si="16">+N11/N$19</f>
        <v>0.21149825629463814</v>
      </c>
      <c r="O31" s="85">
        <f t="shared" si="16"/>
        <v>0.11813022514287172</v>
      </c>
      <c r="P31" s="85">
        <f t="shared" si="16"/>
        <v>0.32596730806679264</v>
      </c>
      <c r="Q31" s="85">
        <f t="shared" si="16"/>
        <v>0.17262472434532869</v>
      </c>
    </row>
    <row r="32" spans="1:17" x14ac:dyDescent="0.3">
      <c r="A32" s="87" t="s">
        <v>94</v>
      </c>
      <c r="B32" s="85">
        <f t="shared" ref="B32:M32" si="17">+B12/B$19</f>
        <v>1.2904499698008931E-4</v>
      </c>
      <c r="C32" s="85">
        <f t="shared" si="17"/>
        <v>4.9834090195322129E-3</v>
      </c>
      <c r="D32" s="85">
        <f t="shared" si="17"/>
        <v>0</v>
      </c>
      <c r="E32" s="85">
        <f t="shared" si="17"/>
        <v>3.1678401204685534E-3</v>
      </c>
      <c r="F32" s="85">
        <f t="shared" si="17"/>
        <v>2.7630965659885241E-2</v>
      </c>
      <c r="G32" s="85">
        <f t="shared" si="17"/>
        <v>9.6798348715187426E-3</v>
      </c>
      <c r="H32" s="85">
        <f t="shared" si="17"/>
        <v>9.2652310591613846E-3</v>
      </c>
      <c r="I32" s="85">
        <f t="shared" si="17"/>
        <v>3.9401890893283562E-4</v>
      </c>
      <c r="J32" s="85">
        <f t="shared" si="17"/>
        <v>0</v>
      </c>
      <c r="K32" s="86">
        <f t="shared" si="17"/>
        <v>0</v>
      </c>
      <c r="L32" s="86">
        <f t="shared" si="17"/>
        <v>6.3101872142475368E-2</v>
      </c>
      <c r="M32" s="85">
        <f t="shared" si="17"/>
        <v>2.7561580591060088E-2</v>
      </c>
      <c r="N32" s="85">
        <f t="shared" ref="N32:Q32" si="18">+N12/N$19</f>
        <v>0</v>
      </c>
      <c r="O32" s="85">
        <f t="shared" si="18"/>
        <v>0</v>
      </c>
      <c r="P32" s="85">
        <f t="shared" si="18"/>
        <v>0</v>
      </c>
      <c r="Q32" s="85">
        <f t="shared" si="18"/>
        <v>1.7255825000080195E-2</v>
      </c>
    </row>
    <row r="33" spans="1:17" x14ac:dyDescent="0.3">
      <c r="A33" s="87" t="s">
        <v>95</v>
      </c>
      <c r="B33" s="85">
        <f t="shared" ref="B33:M33" si="19">+B14/B$19</f>
        <v>0.39332538401013195</v>
      </c>
      <c r="C33" s="85">
        <f t="shared" si="19"/>
        <v>0.41229317589310632</v>
      </c>
      <c r="D33" s="85">
        <f t="shared" si="19"/>
        <v>0.40457499823466425</v>
      </c>
      <c r="E33" s="85">
        <f t="shared" si="19"/>
        <v>0.42685172760801265</v>
      </c>
      <c r="F33" s="85">
        <f t="shared" si="19"/>
        <v>0.46358688339389853</v>
      </c>
      <c r="G33" s="85">
        <f t="shared" si="19"/>
        <v>0.40661976134370775</v>
      </c>
      <c r="H33" s="85">
        <f t="shared" si="19"/>
        <v>0.45340619640794966</v>
      </c>
      <c r="I33" s="85">
        <f t="shared" si="19"/>
        <v>0.38373480965568918</v>
      </c>
      <c r="J33" s="85">
        <f t="shared" si="19"/>
        <v>0.40797678766040169</v>
      </c>
      <c r="K33" s="86">
        <f t="shared" si="19"/>
        <v>0.40797657776993296</v>
      </c>
      <c r="L33" s="86">
        <f t="shared" si="19"/>
        <v>0.42334854006255629</v>
      </c>
      <c r="M33" s="85">
        <f t="shared" si="19"/>
        <v>0.37453435196862533</v>
      </c>
      <c r="N33" s="85">
        <f t="shared" ref="N33:Q33" si="20">+N13/N$19</f>
        <v>5.4356546162315035E-2</v>
      </c>
      <c r="O33" s="85">
        <f t="shared" si="20"/>
        <v>0</v>
      </c>
      <c r="P33" s="85">
        <f t="shared" si="20"/>
        <v>0</v>
      </c>
      <c r="Q33" s="85">
        <f t="shared" si="20"/>
        <v>2.3560848262536474E-2</v>
      </c>
    </row>
    <row r="34" spans="1:17" x14ac:dyDescent="0.3">
      <c r="A34" s="88" t="s">
        <v>107</v>
      </c>
      <c r="B34" s="89">
        <f>+B14/B$19</f>
        <v>0.39332538401013195</v>
      </c>
      <c r="C34" s="89">
        <f t="shared" ref="C34:N34" si="21">+C14/C$18</f>
        <v>0.70152865167023704</v>
      </c>
      <c r="D34" s="89">
        <f t="shared" si="21"/>
        <v>0.67947264060992896</v>
      </c>
      <c r="E34" s="89">
        <f t="shared" si="21"/>
        <v>0.74474921790583426</v>
      </c>
      <c r="F34" s="90">
        <f t="shared" si="21"/>
        <v>0.86423480157797739</v>
      </c>
      <c r="G34" s="89">
        <f t="shared" si="21"/>
        <v>0.68526003202347452</v>
      </c>
      <c r="H34" s="89">
        <f t="shared" si="21"/>
        <v>0.82951214124327854</v>
      </c>
      <c r="I34" s="89">
        <f t="shared" si="21"/>
        <v>0.62267805429882284</v>
      </c>
      <c r="J34" s="89">
        <f t="shared" si="21"/>
        <v>0.68912295862206274</v>
      </c>
      <c r="K34" s="90">
        <f t="shared" si="21"/>
        <v>0.68912235977614511</v>
      </c>
      <c r="L34" s="90">
        <f t="shared" si="21"/>
        <v>0.73414977586024321</v>
      </c>
      <c r="M34" s="89">
        <f t="shared" si="21"/>
        <v>0.59880882850633854</v>
      </c>
      <c r="N34" s="89">
        <f t="shared" si="21"/>
        <v>0.89689152808855044</v>
      </c>
      <c r="O34" s="89">
        <f t="shared" ref="O34:Q34" si="22">+O14/O$18</f>
        <v>0.63525066432338495</v>
      </c>
      <c r="P34" s="89">
        <f t="shared" si="22"/>
        <v>0.76107429323217191</v>
      </c>
      <c r="Q34" s="89">
        <f t="shared" si="22"/>
        <v>0.65690471044064147</v>
      </c>
    </row>
    <row r="35" spans="1:17" x14ac:dyDescent="0.3">
      <c r="A35" s="87" t="s">
        <v>96</v>
      </c>
      <c r="B35" s="85">
        <f>+B15/B$19</f>
        <v>7.6617568987270498E-2</v>
      </c>
      <c r="C35" s="85">
        <f t="shared" ref="C35:Q35" si="23">+C15/C$19</f>
        <v>8.1327216563546481E-2</v>
      </c>
      <c r="D35" s="85">
        <f t="shared" si="23"/>
        <v>6.3141676789269699E-2</v>
      </c>
      <c r="E35" s="85">
        <f t="shared" si="23"/>
        <v>4.6480283739548718E-2</v>
      </c>
      <c r="F35" s="85">
        <f t="shared" si="23"/>
        <v>2.0830579101441916E-2</v>
      </c>
      <c r="G35" s="85">
        <f t="shared" si="23"/>
        <v>5.6557630996838637E-2</v>
      </c>
      <c r="H35" s="85">
        <f t="shared" si="23"/>
        <v>1.8239562957997502E-2</v>
      </c>
      <c r="I35" s="85">
        <f t="shared" si="23"/>
        <v>4.7181730185848939E-2</v>
      </c>
      <c r="J35" s="85">
        <f t="shared" si="23"/>
        <v>4.6538440318484843E-2</v>
      </c>
      <c r="K35" s="86">
        <f t="shared" si="23"/>
        <v>6.3620135820002061E-2</v>
      </c>
      <c r="L35" s="86">
        <f t="shared" si="23"/>
        <v>0.11481141104677169</v>
      </c>
      <c r="M35" s="85">
        <f t="shared" si="23"/>
        <v>0.11692457516683762</v>
      </c>
      <c r="N35" s="85">
        <f t="shared" si="23"/>
        <v>0</v>
      </c>
      <c r="O35" s="85">
        <f t="shared" si="23"/>
        <v>8.1843782121268402E-2</v>
      </c>
      <c r="P35" s="85">
        <f t="shared" si="23"/>
        <v>5.0535243586539297E-2</v>
      </c>
      <c r="Q35" s="85">
        <f t="shared" si="23"/>
        <v>7.4620481393064639E-2</v>
      </c>
    </row>
    <row r="36" spans="1:17" x14ac:dyDescent="0.3">
      <c r="A36" s="87" t="s">
        <v>97</v>
      </c>
      <c r="B36" s="85">
        <f t="shared" ref="B36:Q39" si="24">+B16/B$19</f>
        <v>9.6216321056710449E-2</v>
      </c>
      <c r="C36" s="85">
        <f t="shared" si="24"/>
        <v>4.3494338129423486E-2</v>
      </c>
      <c r="D36" s="85">
        <f t="shared" si="24"/>
        <v>3.0397956718963927E-2</v>
      </c>
      <c r="E36" s="85">
        <f t="shared" si="24"/>
        <v>3.7152672590886358E-2</v>
      </c>
      <c r="F36" s="85">
        <f t="shared" si="24"/>
        <v>3.0814212178295382E-2</v>
      </c>
      <c r="G36" s="85">
        <f t="shared" si="24"/>
        <v>8.2459889589343499E-2</v>
      </c>
      <c r="H36" s="85">
        <f t="shared" si="24"/>
        <v>1.448721962455197E-2</v>
      </c>
      <c r="I36" s="85">
        <f t="shared" si="24"/>
        <v>0.10708670316882904</v>
      </c>
      <c r="J36" s="85">
        <f t="shared" si="24"/>
        <v>3.3512929662501509E-2</v>
      </c>
      <c r="K36" s="86">
        <f t="shared" si="24"/>
        <v>6.4078141033218738E-2</v>
      </c>
      <c r="L36" s="86">
        <f t="shared" si="24"/>
        <v>3.8491508828115695E-2</v>
      </c>
      <c r="M36" s="85">
        <f t="shared" si="24"/>
        <v>0.1027440603324966</v>
      </c>
      <c r="N36" s="85">
        <f t="shared" si="24"/>
        <v>0</v>
      </c>
      <c r="O36" s="85">
        <f t="shared" si="24"/>
        <v>0.12532907617791875</v>
      </c>
      <c r="P36" s="85">
        <f t="shared" si="24"/>
        <v>8.1312636838757876E-2</v>
      </c>
      <c r="Q36" s="85">
        <f t="shared" si="24"/>
        <v>5.9141701560252072E-2</v>
      </c>
    </row>
    <row r="37" spans="1:17" x14ac:dyDescent="0.3">
      <c r="A37" s="87" t="s">
        <v>98</v>
      </c>
      <c r="B37" s="85">
        <f t="shared" si="24"/>
        <v>1.7025025132167172E-3</v>
      </c>
      <c r="C37" s="85">
        <f t="shared" si="24"/>
        <v>3.9436378613533071E-3</v>
      </c>
      <c r="D37" s="85">
        <f t="shared" si="24"/>
        <v>0</v>
      </c>
      <c r="E37" s="85">
        <f t="shared" si="24"/>
        <v>2.1666936134315737E-2</v>
      </c>
      <c r="F37" s="85">
        <f t="shared" si="24"/>
        <v>3.5290301857679395E-3</v>
      </c>
      <c r="G37" s="85">
        <f t="shared" si="24"/>
        <v>1.4479154618972064E-2</v>
      </c>
      <c r="H37" s="85">
        <f t="shared" si="24"/>
        <v>0</v>
      </c>
      <c r="I37" s="85">
        <f t="shared" si="24"/>
        <v>3.7246945085029126E-2</v>
      </c>
      <c r="J37" s="85">
        <f t="shared" si="24"/>
        <v>2.7478712367404772E-2</v>
      </c>
      <c r="K37" s="86">
        <f t="shared" si="24"/>
        <v>0</v>
      </c>
      <c r="L37" s="86">
        <f t="shared" si="24"/>
        <v>0</v>
      </c>
      <c r="M37" s="85">
        <f t="shared" si="24"/>
        <v>2.7869598701750014E-3</v>
      </c>
      <c r="N37" s="85">
        <f t="shared" si="24"/>
        <v>0</v>
      </c>
      <c r="O37" s="85">
        <f t="shared" si="24"/>
        <v>1.5881223643373518E-2</v>
      </c>
      <c r="P37" s="85">
        <f t="shared" si="24"/>
        <v>3.8225496559448455E-3</v>
      </c>
      <c r="Q37" s="85">
        <f t="shared" si="24"/>
        <v>4.9746987595376428E-2</v>
      </c>
    </row>
    <row r="38" spans="1:17" x14ac:dyDescent="0.3">
      <c r="A38" s="88" t="s">
        <v>111</v>
      </c>
      <c r="B38" s="89">
        <f>+B18/B$19</f>
        <v>0.60667461598986805</v>
      </c>
      <c r="C38" s="89">
        <f t="shared" si="24"/>
        <v>0.58770682410689368</v>
      </c>
      <c r="D38" s="89">
        <f t="shared" si="24"/>
        <v>0.59542500176533575</v>
      </c>
      <c r="E38" s="89">
        <f t="shared" si="24"/>
        <v>0.5731482723919874</v>
      </c>
      <c r="F38" s="89">
        <f t="shared" si="24"/>
        <v>0.53641311660610147</v>
      </c>
      <c r="G38" s="89">
        <f t="shared" si="24"/>
        <v>0.5933802386562923</v>
      </c>
      <c r="H38" s="89">
        <f t="shared" si="24"/>
        <v>0.54659380359205034</v>
      </c>
      <c r="I38" s="89">
        <f t="shared" si="24"/>
        <v>0.61626519034431082</v>
      </c>
      <c r="J38" s="89">
        <f t="shared" si="24"/>
        <v>0.59202321233959831</v>
      </c>
      <c r="K38" s="90">
        <f t="shared" si="24"/>
        <v>0.5920234222300671</v>
      </c>
      <c r="L38" s="90">
        <f t="shared" si="24"/>
        <v>0.57665145993744371</v>
      </c>
      <c r="M38" s="89">
        <f t="shared" si="24"/>
        <v>0.62546564803137472</v>
      </c>
      <c r="N38" s="89">
        <f t="shared" si="24"/>
        <v>0.5271782730811575</v>
      </c>
      <c r="O38" s="89">
        <f t="shared" si="24"/>
        <v>0.6115270409712803</v>
      </c>
      <c r="P38" s="89">
        <f t="shared" si="24"/>
        <v>0.56783521504062107</v>
      </c>
      <c r="Q38" s="89">
        <f t="shared" si="24"/>
        <v>0.60353500940561478</v>
      </c>
    </row>
    <row r="39" spans="1:17" x14ac:dyDescent="0.3">
      <c r="A39" s="91" t="s">
        <v>112</v>
      </c>
      <c r="B39" s="92">
        <f>+B19/B$19</f>
        <v>1</v>
      </c>
      <c r="C39" s="92">
        <f t="shared" si="24"/>
        <v>1</v>
      </c>
      <c r="D39" s="92">
        <f t="shared" si="24"/>
        <v>1</v>
      </c>
      <c r="E39" s="92">
        <f t="shared" si="24"/>
        <v>1</v>
      </c>
      <c r="F39" s="92">
        <f t="shared" si="24"/>
        <v>1</v>
      </c>
      <c r="G39" s="92">
        <f t="shared" si="24"/>
        <v>1</v>
      </c>
      <c r="H39" s="92">
        <f t="shared" si="24"/>
        <v>1</v>
      </c>
      <c r="I39" s="92">
        <f t="shared" si="24"/>
        <v>1</v>
      </c>
      <c r="J39" s="92">
        <f t="shared" si="24"/>
        <v>1</v>
      </c>
      <c r="K39" s="93">
        <f t="shared" si="24"/>
        <v>1</v>
      </c>
      <c r="L39" s="93">
        <f t="shared" si="24"/>
        <v>1</v>
      </c>
      <c r="M39" s="92">
        <f t="shared" si="24"/>
        <v>1</v>
      </c>
      <c r="N39" s="92">
        <f t="shared" si="24"/>
        <v>1</v>
      </c>
      <c r="O39" s="92">
        <f t="shared" si="24"/>
        <v>1</v>
      </c>
      <c r="P39" s="92">
        <f t="shared" si="24"/>
        <v>1</v>
      </c>
      <c r="Q39" s="92">
        <f t="shared" si="24"/>
        <v>1</v>
      </c>
    </row>
    <row r="40" spans="1:17" x14ac:dyDescent="0.3">
      <c r="A40" s="28" t="s">
        <v>121</v>
      </c>
      <c r="F40" s="94"/>
      <c r="K40" s="107"/>
      <c r="L40" s="107"/>
    </row>
    <row r="41" spans="1:17" x14ac:dyDescent="0.3">
      <c r="A41" s="28" t="s">
        <v>122</v>
      </c>
      <c r="F41" s="94"/>
      <c r="K41" s="107"/>
      <c r="L41" s="107"/>
    </row>
    <row r="42" spans="1:17" x14ac:dyDescent="0.3">
      <c r="A42" s="28" t="s">
        <v>123</v>
      </c>
      <c r="F42" s="94"/>
      <c r="K42" s="107"/>
      <c r="L42" s="107"/>
    </row>
    <row r="43" spans="1:17" x14ac:dyDescent="0.3">
      <c r="A43" s="95">
        <v>41008</v>
      </c>
      <c r="F43" s="94"/>
      <c r="K43" s="107"/>
      <c r="L43" s="107"/>
    </row>
  </sheetData>
  <mergeCells count="3">
    <mergeCell ref="A1:Q1"/>
    <mergeCell ref="A2:Q2"/>
    <mergeCell ref="A24:Q24"/>
  </mergeCells>
  <hyperlinks>
    <hyperlink ref="A1:Q1" location="CONTENIDO!A1" display="EMPRESAS DE TRANSPORTE AÉREO PASAJEROS REGULAR INTERNACIONAL   -  COSTOS DE OPERACIÓN POR TIPO DE AERONAVE   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9" workbookViewId="0">
      <selection activeCell="A45" sqref="A45"/>
    </sheetView>
  </sheetViews>
  <sheetFormatPr baseColWidth="10" defaultRowHeight="14.4" x14ac:dyDescent="0.3"/>
  <cols>
    <col min="1" max="1" width="30.6328125" style="28" customWidth="1"/>
    <col min="2" max="2" width="13.1796875" style="28" customWidth="1"/>
    <col min="3" max="3" width="12.7265625" style="28" customWidth="1"/>
    <col min="4" max="4" width="13.6328125" style="28" customWidth="1"/>
    <col min="5" max="11" width="10.90625" style="28"/>
    <col min="12" max="12" width="10.90625" style="106"/>
    <col min="13" max="16384" width="10.90625" style="28"/>
  </cols>
  <sheetData>
    <row r="1" spans="1:4" x14ac:dyDescent="0.3">
      <c r="A1" s="189" t="s">
        <v>473</v>
      </c>
      <c r="B1" s="190"/>
      <c r="C1" s="190"/>
      <c r="D1" s="191"/>
    </row>
    <row r="2" spans="1:4" ht="15" thickBot="1" x14ac:dyDescent="0.35">
      <c r="A2" s="192" t="s">
        <v>474</v>
      </c>
      <c r="B2" s="193"/>
      <c r="C2" s="193"/>
      <c r="D2" s="194"/>
    </row>
    <row r="3" spans="1:4" ht="15" thickBot="1" x14ac:dyDescent="0.35"/>
    <row r="4" spans="1:4" ht="15" thickBot="1" x14ac:dyDescent="0.35">
      <c r="A4" s="131" t="s">
        <v>0</v>
      </c>
      <c r="B4" s="131" t="s">
        <v>23</v>
      </c>
      <c r="C4" s="131" t="s">
        <v>19</v>
      </c>
      <c r="D4" s="131" t="s">
        <v>26</v>
      </c>
    </row>
    <row r="5" spans="1:4" x14ac:dyDescent="0.3">
      <c r="A5" s="30" t="s">
        <v>87</v>
      </c>
      <c r="B5" s="120">
        <v>2745006</v>
      </c>
      <c r="C5" s="120">
        <v>1664551.3333333333</v>
      </c>
      <c r="D5" s="132">
        <v>2884265.5</v>
      </c>
    </row>
    <row r="6" spans="1:4" x14ac:dyDescent="0.3">
      <c r="A6" s="33" t="s">
        <v>472</v>
      </c>
      <c r="B6" s="56">
        <v>0</v>
      </c>
      <c r="C6" s="56">
        <v>1233.6666666666667</v>
      </c>
      <c r="D6" s="59">
        <v>0</v>
      </c>
    </row>
    <row r="7" spans="1:4" x14ac:dyDescent="0.3">
      <c r="A7" s="33" t="s">
        <v>133</v>
      </c>
      <c r="B7" s="56">
        <v>124611</v>
      </c>
      <c r="C7" s="56">
        <v>52094.333333333336</v>
      </c>
      <c r="D7" s="59">
        <v>46683.5</v>
      </c>
    </row>
    <row r="8" spans="1:4" x14ac:dyDescent="0.3">
      <c r="A8" s="33" t="s">
        <v>90</v>
      </c>
      <c r="B8" s="56">
        <v>6054324</v>
      </c>
      <c r="C8" s="56">
        <v>4050841.6666666665</v>
      </c>
      <c r="D8" s="59">
        <v>1229274.5</v>
      </c>
    </row>
    <row r="9" spans="1:4" x14ac:dyDescent="0.3">
      <c r="A9" s="33" t="s">
        <v>91</v>
      </c>
      <c r="B9" s="56">
        <v>2583897</v>
      </c>
      <c r="C9" s="56">
        <v>843580.66666666663</v>
      </c>
      <c r="D9" s="59">
        <v>1735949</v>
      </c>
    </row>
    <row r="10" spans="1:4" x14ac:dyDescent="0.3">
      <c r="A10" s="33" t="s">
        <v>92</v>
      </c>
      <c r="B10" s="56">
        <v>0</v>
      </c>
      <c r="C10" s="56">
        <v>0</v>
      </c>
      <c r="D10" s="59">
        <v>247447</v>
      </c>
    </row>
    <row r="11" spans="1:4" x14ac:dyDescent="0.3">
      <c r="A11" s="33" t="s">
        <v>93</v>
      </c>
      <c r="B11" s="56">
        <v>19825641</v>
      </c>
      <c r="C11" s="56">
        <v>10225932.333333334</v>
      </c>
      <c r="D11" s="59">
        <v>4981624.5</v>
      </c>
    </row>
    <row r="12" spans="1:4" x14ac:dyDescent="0.3">
      <c r="A12" s="33" t="s">
        <v>94</v>
      </c>
      <c r="B12" s="56">
        <v>2098808</v>
      </c>
      <c r="C12" s="56">
        <v>249781</v>
      </c>
      <c r="D12" s="59">
        <v>0</v>
      </c>
    </row>
    <row r="13" spans="1:4" ht="15" thickBot="1" x14ac:dyDescent="0.35">
      <c r="A13" s="60" t="s">
        <v>137</v>
      </c>
      <c r="B13" s="61">
        <v>0</v>
      </c>
      <c r="C13" s="61">
        <v>13552204.666666666</v>
      </c>
      <c r="D13" s="63">
        <v>0</v>
      </c>
    </row>
    <row r="14" spans="1:4" ht="15" thickBot="1" x14ac:dyDescent="0.35">
      <c r="A14" s="64" t="s">
        <v>107</v>
      </c>
      <c r="B14" s="65">
        <f>SUM(B5:B13)</f>
        <v>33432287</v>
      </c>
      <c r="C14" s="65">
        <f t="shared" ref="C14:D14" si="0">SUM(C5:C13)</f>
        <v>30640219.666666664</v>
      </c>
      <c r="D14" s="67">
        <f t="shared" si="0"/>
        <v>11125244</v>
      </c>
    </row>
    <row r="15" spans="1:4" x14ac:dyDescent="0.3">
      <c r="A15" s="68" t="s">
        <v>128</v>
      </c>
      <c r="B15" s="69">
        <v>1030712</v>
      </c>
      <c r="C15" s="69">
        <v>913108.33333333337</v>
      </c>
      <c r="D15" s="76">
        <v>205666.5</v>
      </c>
    </row>
    <row r="16" spans="1:4" x14ac:dyDescent="0.3">
      <c r="A16" s="33" t="s">
        <v>97</v>
      </c>
      <c r="B16" s="56">
        <v>4573231</v>
      </c>
      <c r="C16" s="56">
        <v>954287.33333333337</v>
      </c>
      <c r="D16" s="59">
        <v>1033</v>
      </c>
    </row>
    <row r="17" spans="1:4" ht="15" thickBot="1" x14ac:dyDescent="0.35">
      <c r="A17" s="60" t="s">
        <v>98</v>
      </c>
      <c r="B17" s="61">
        <v>760128</v>
      </c>
      <c r="C17" s="61">
        <v>-46481.333333333336</v>
      </c>
      <c r="D17" s="63">
        <v>867.5</v>
      </c>
    </row>
    <row r="18" spans="1:4" ht="15" thickBot="1" x14ac:dyDescent="0.35">
      <c r="A18" s="64" t="s">
        <v>111</v>
      </c>
      <c r="B18" s="65">
        <f>SUM(B15:B17)</f>
        <v>6364071</v>
      </c>
      <c r="C18" s="65">
        <f t="shared" ref="C18:D18" si="1">SUM(C15:C17)</f>
        <v>1820914.3333333335</v>
      </c>
      <c r="D18" s="67">
        <f t="shared" si="1"/>
        <v>207567</v>
      </c>
    </row>
    <row r="19" spans="1:4" ht="15" thickBot="1" x14ac:dyDescent="0.35">
      <c r="A19" s="128" t="s">
        <v>86</v>
      </c>
      <c r="B19" s="129">
        <f>+B14+B18</f>
        <v>39796358</v>
      </c>
      <c r="C19" s="129">
        <f t="shared" ref="C19:D19" si="2">+C14+C18</f>
        <v>32461133.999999996</v>
      </c>
      <c r="D19" s="133">
        <f t="shared" si="2"/>
        <v>11332811</v>
      </c>
    </row>
    <row r="20" spans="1:4" x14ac:dyDescent="0.3">
      <c r="A20" s="68" t="s">
        <v>1</v>
      </c>
      <c r="B20" s="69">
        <v>34749</v>
      </c>
      <c r="C20" s="69">
        <v>12703</v>
      </c>
      <c r="D20" s="76">
        <v>6212</v>
      </c>
    </row>
    <row r="21" spans="1:4" x14ac:dyDescent="0.3">
      <c r="A21" s="33" t="s">
        <v>2</v>
      </c>
      <c r="B21" s="56">
        <v>1338</v>
      </c>
      <c r="C21" s="56">
        <v>2164</v>
      </c>
      <c r="D21" s="59">
        <v>822</v>
      </c>
    </row>
    <row r="22" spans="1:4" ht="15" thickBot="1" x14ac:dyDescent="0.35">
      <c r="A22" s="77" t="s">
        <v>85</v>
      </c>
      <c r="B22" s="78">
        <v>13</v>
      </c>
      <c r="C22" s="78">
        <v>10</v>
      </c>
      <c r="D22" s="80">
        <v>8</v>
      </c>
    </row>
    <row r="23" spans="1:4" ht="15" thickBot="1" x14ac:dyDescent="0.35"/>
    <row r="24" spans="1:4" ht="15" thickBot="1" x14ac:dyDescent="0.35">
      <c r="A24" s="202" t="s">
        <v>118</v>
      </c>
      <c r="B24" s="203"/>
      <c r="C24" s="203"/>
      <c r="D24" s="204"/>
    </row>
    <row r="25" spans="1:4" x14ac:dyDescent="0.3">
      <c r="A25" s="52" t="s">
        <v>87</v>
      </c>
      <c r="B25" s="134">
        <f t="shared" ref="B25:D32" si="3">+B5/B$19</f>
        <v>6.8976311852456451E-2</v>
      </c>
      <c r="C25" s="134">
        <f t="shared" si="3"/>
        <v>5.1278286622190507E-2</v>
      </c>
      <c r="D25" s="134">
        <f t="shared" si="3"/>
        <v>0.25450574442651519</v>
      </c>
    </row>
    <row r="26" spans="1:4" x14ac:dyDescent="0.3">
      <c r="A26" s="87" t="s">
        <v>88</v>
      </c>
      <c r="B26" s="85">
        <f t="shared" si="3"/>
        <v>0</v>
      </c>
      <c r="C26" s="85">
        <f t="shared" si="3"/>
        <v>3.8004422971380696E-5</v>
      </c>
      <c r="D26" s="85">
        <f t="shared" si="3"/>
        <v>0</v>
      </c>
    </row>
    <row r="27" spans="1:4" x14ac:dyDescent="0.3">
      <c r="A27" s="87" t="s">
        <v>89</v>
      </c>
      <c r="B27" s="85">
        <f t="shared" si="3"/>
        <v>3.1312161781236365E-3</v>
      </c>
      <c r="C27" s="85">
        <f t="shared" si="3"/>
        <v>1.6048217333791649E-3</v>
      </c>
      <c r="D27" s="85">
        <f t="shared" si="3"/>
        <v>4.1193222052322235E-3</v>
      </c>
    </row>
    <row r="28" spans="1:4" x14ac:dyDescent="0.3">
      <c r="A28" s="87" t="s">
        <v>90</v>
      </c>
      <c r="B28" s="85">
        <f t="shared" si="3"/>
        <v>0.15213261474831441</v>
      </c>
      <c r="C28" s="85">
        <f t="shared" si="3"/>
        <v>0.12479051614976443</v>
      </c>
      <c r="D28" s="85">
        <f t="shared" si="3"/>
        <v>0.10847039626796917</v>
      </c>
    </row>
    <row r="29" spans="1:4" x14ac:dyDescent="0.3">
      <c r="A29" s="87" t="s">
        <v>91</v>
      </c>
      <c r="B29" s="85">
        <f t="shared" si="3"/>
        <v>6.4927976575142876E-2</v>
      </c>
      <c r="C29" s="85">
        <f t="shared" si="3"/>
        <v>2.5987405944187494E-2</v>
      </c>
      <c r="D29" s="85">
        <f t="shared" si="3"/>
        <v>0.1531790303394277</v>
      </c>
    </row>
    <row r="30" spans="1:4" x14ac:dyDescent="0.3">
      <c r="A30" s="87" t="s">
        <v>92</v>
      </c>
      <c r="B30" s="85">
        <f t="shared" si="3"/>
        <v>0</v>
      </c>
      <c r="C30" s="85">
        <f t="shared" si="3"/>
        <v>0</v>
      </c>
      <c r="D30" s="85">
        <f t="shared" si="3"/>
        <v>2.1834565140105133E-2</v>
      </c>
    </row>
    <row r="31" spans="1:4" x14ac:dyDescent="0.3">
      <c r="A31" s="87" t="s">
        <v>93</v>
      </c>
      <c r="B31" s="85">
        <f t="shared" si="3"/>
        <v>0.49817727039243137</v>
      </c>
      <c r="C31" s="85">
        <f t="shared" si="3"/>
        <v>0.31502079789736659</v>
      </c>
      <c r="D31" s="85">
        <f t="shared" si="3"/>
        <v>0.43957536219389876</v>
      </c>
    </row>
    <row r="32" spans="1:4" x14ac:dyDescent="0.3">
      <c r="A32" s="87" t="s">
        <v>94</v>
      </c>
      <c r="B32" s="85">
        <f t="shared" si="3"/>
        <v>5.2738695334884664E-2</v>
      </c>
      <c r="C32" s="85">
        <f t="shared" si="3"/>
        <v>7.6947712301116784E-3</v>
      </c>
      <c r="D32" s="85">
        <f t="shared" si="3"/>
        <v>0</v>
      </c>
    </row>
    <row r="33" spans="1:4" x14ac:dyDescent="0.3">
      <c r="A33" s="87" t="s">
        <v>95</v>
      </c>
      <c r="B33" s="85">
        <f>+B14/B$19</f>
        <v>0.84008408508135346</v>
      </c>
      <c r="C33" s="85">
        <f>+C14/C$19</f>
        <v>0.94390478369198894</v>
      </c>
      <c r="D33" s="85">
        <f>+D14/D$19</f>
        <v>0.9816844205731482</v>
      </c>
    </row>
    <row r="34" spans="1:4" x14ac:dyDescent="0.3">
      <c r="A34" s="88" t="s">
        <v>107</v>
      </c>
      <c r="B34" s="89">
        <f>+B14/B$19</f>
        <v>0.84008408508135346</v>
      </c>
      <c r="C34" s="89">
        <f>+C14/C$19</f>
        <v>0.94390478369198894</v>
      </c>
      <c r="D34" s="89">
        <f>+D14/D$19</f>
        <v>0.9816844205731482</v>
      </c>
    </row>
    <row r="35" spans="1:4" x14ac:dyDescent="0.3">
      <c r="A35" s="87" t="s">
        <v>96</v>
      </c>
      <c r="B35" s="85">
        <f>+B15/B$19</f>
        <v>2.5899656445949149E-2</v>
      </c>
      <c r="C35" s="85">
        <f t="shared" ref="C35:D35" si="4">+C15/C$19</f>
        <v>2.8129280182674254E-2</v>
      </c>
      <c r="D35" s="85">
        <f t="shared" si="4"/>
        <v>1.8147880521434619E-2</v>
      </c>
    </row>
    <row r="36" spans="1:4" x14ac:dyDescent="0.3">
      <c r="A36" s="87" t="s">
        <v>97</v>
      </c>
      <c r="B36" s="85">
        <f t="shared" ref="B36:D39" si="5">+B16/B$19</f>
        <v>0.11491581717100846</v>
      </c>
      <c r="C36" s="85">
        <f t="shared" si="5"/>
        <v>2.939784338197592E-2</v>
      </c>
      <c r="D36" s="85">
        <f t="shared" si="5"/>
        <v>9.1151259824239552E-5</v>
      </c>
    </row>
    <row r="37" spans="1:4" x14ac:dyDescent="0.3">
      <c r="A37" s="87" t="s">
        <v>98</v>
      </c>
      <c r="B37" s="85">
        <f t="shared" si="5"/>
        <v>1.9100441301688965E-2</v>
      </c>
      <c r="C37" s="85">
        <f t="shared" si="5"/>
        <v>-1.4319072566390731E-3</v>
      </c>
      <c r="D37" s="85">
        <f t="shared" si="5"/>
        <v>7.6547645592960124E-5</v>
      </c>
    </row>
    <row r="38" spans="1:4" x14ac:dyDescent="0.3">
      <c r="A38" s="88" t="s">
        <v>111</v>
      </c>
      <c r="B38" s="89">
        <f>+B18/B$19</f>
        <v>0.15991591491864657</v>
      </c>
      <c r="C38" s="89">
        <f t="shared" si="5"/>
        <v>5.6095216308011106E-2</v>
      </c>
      <c r="D38" s="89">
        <f t="shared" si="5"/>
        <v>1.831557942685182E-2</v>
      </c>
    </row>
    <row r="39" spans="1:4" x14ac:dyDescent="0.3">
      <c r="A39" s="170" t="s">
        <v>112</v>
      </c>
      <c r="B39" s="171">
        <f>+B19/B$19</f>
        <v>1</v>
      </c>
      <c r="C39" s="171">
        <f t="shared" si="5"/>
        <v>1</v>
      </c>
      <c r="D39" s="171">
        <f t="shared" si="5"/>
        <v>1</v>
      </c>
    </row>
    <row r="40" spans="1:4" ht="24.6" customHeight="1" x14ac:dyDescent="0.3">
      <c r="A40" s="201" t="s">
        <v>476</v>
      </c>
      <c r="B40" s="201"/>
      <c r="C40" s="201"/>
      <c r="D40" s="201"/>
    </row>
    <row r="41" spans="1:4" ht="19.2" customHeight="1" x14ac:dyDescent="0.3">
      <c r="A41" s="201" t="s">
        <v>477</v>
      </c>
      <c r="B41" s="201"/>
      <c r="C41" s="201"/>
      <c r="D41" s="201"/>
    </row>
    <row r="42" spans="1:4" x14ac:dyDescent="0.3">
      <c r="A42" s="172">
        <v>41008</v>
      </c>
      <c r="B42" s="43"/>
      <c r="C42" s="43"/>
      <c r="D42" s="43"/>
    </row>
    <row r="43" spans="1:4" x14ac:dyDescent="0.3">
      <c r="A43" s="43"/>
      <c r="B43" s="43"/>
      <c r="C43" s="43"/>
      <c r="D43" s="43"/>
    </row>
  </sheetData>
  <sortState ref="A2:AE10">
    <sortCondition ref="A2:A10"/>
  </sortState>
  <mergeCells count="5">
    <mergeCell ref="A41:D41"/>
    <mergeCell ref="A1:D1"/>
    <mergeCell ref="A2:D2"/>
    <mergeCell ref="A24:D24"/>
    <mergeCell ref="A40:D40"/>
  </mergeCells>
  <hyperlinks>
    <hyperlink ref="A1:D1" location="CONTENIDO!A1" display="EMPRESAS DE TRANSPORTE AÉREO- CARGA 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9" workbookViewId="0">
      <selection activeCell="I14" sqref="I14"/>
    </sheetView>
  </sheetViews>
  <sheetFormatPr baseColWidth="10" defaultRowHeight="14.4" x14ac:dyDescent="0.3"/>
  <cols>
    <col min="1" max="1" width="35.26953125" style="28" customWidth="1"/>
    <col min="2" max="2" width="11.81640625" style="28" customWidth="1"/>
    <col min="3" max="5" width="10.90625" style="28"/>
    <col min="6" max="6" width="12.81640625" style="28" customWidth="1"/>
    <col min="7" max="7" width="10.90625" style="28"/>
    <col min="8" max="8" width="12.26953125" style="28" customWidth="1"/>
    <col min="9" max="9" width="12.1796875" style="28" customWidth="1"/>
    <col min="10" max="10" width="10.90625" style="28"/>
    <col min="11" max="11" width="13.81640625" style="28" customWidth="1"/>
    <col min="12" max="16" width="10.90625" style="28"/>
    <col min="17" max="17" width="10.90625" style="106"/>
    <col min="18" max="16384" width="10.90625" style="28"/>
  </cols>
  <sheetData>
    <row r="1" spans="1:17" x14ac:dyDescent="0.3">
      <c r="A1" s="189" t="s">
        <v>473</v>
      </c>
      <c r="B1" s="190"/>
      <c r="C1" s="190"/>
      <c r="D1" s="190"/>
      <c r="E1" s="190"/>
      <c r="F1" s="191"/>
      <c r="L1" s="106"/>
      <c r="Q1" s="28"/>
    </row>
    <row r="2" spans="1:17" ht="15" thickBot="1" x14ac:dyDescent="0.35">
      <c r="A2" s="192" t="s">
        <v>475</v>
      </c>
      <c r="B2" s="193"/>
      <c r="C2" s="193"/>
      <c r="D2" s="193"/>
      <c r="E2" s="193"/>
      <c r="F2" s="194"/>
      <c r="L2" s="106"/>
      <c r="Q2" s="28"/>
    </row>
    <row r="3" spans="1:17" ht="15" thickBot="1" x14ac:dyDescent="0.35"/>
    <row r="4" spans="1:17" ht="15" thickBot="1" x14ac:dyDescent="0.35">
      <c r="A4" s="135" t="s">
        <v>0</v>
      </c>
      <c r="B4" s="131" t="s">
        <v>227</v>
      </c>
      <c r="C4" s="131" t="s">
        <v>27</v>
      </c>
      <c r="D4" s="131" t="s">
        <v>23</v>
      </c>
      <c r="E4" s="131" t="s">
        <v>4</v>
      </c>
      <c r="F4" s="131" t="s">
        <v>19</v>
      </c>
    </row>
    <row r="5" spans="1:17" x14ac:dyDescent="0.3">
      <c r="A5" s="30" t="s">
        <v>87</v>
      </c>
      <c r="B5" s="120">
        <v>2544894.6666666665</v>
      </c>
      <c r="C5" s="120">
        <v>567174</v>
      </c>
      <c r="D5" s="120">
        <v>2824685</v>
      </c>
      <c r="E5" s="120">
        <v>925000</v>
      </c>
      <c r="F5" s="132">
        <v>1281731</v>
      </c>
    </row>
    <row r="6" spans="1:17" x14ac:dyDescent="0.3">
      <c r="A6" s="33" t="s">
        <v>88</v>
      </c>
      <c r="B6" s="56">
        <v>0</v>
      </c>
      <c r="C6" s="56">
        <v>0</v>
      </c>
      <c r="D6" s="56">
        <v>0</v>
      </c>
      <c r="E6" s="56">
        <v>0</v>
      </c>
      <c r="F6" s="59">
        <v>2776</v>
      </c>
    </row>
    <row r="7" spans="1:17" x14ac:dyDescent="0.3">
      <c r="A7" s="33" t="s">
        <v>89</v>
      </c>
      <c r="B7" s="56">
        <v>435909.33333333331</v>
      </c>
      <c r="C7" s="56">
        <v>0</v>
      </c>
      <c r="D7" s="56">
        <v>159301</v>
      </c>
      <c r="E7" s="56">
        <v>1303178</v>
      </c>
      <c r="F7" s="59">
        <v>29957</v>
      </c>
    </row>
    <row r="8" spans="1:17" x14ac:dyDescent="0.3">
      <c r="A8" s="33" t="s">
        <v>90</v>
      </c>
      <c r="B8" s="56">
        <v>2273812</v>
      </c>
      <c r="C8" s="56">
        <v>0</v>
      </c>
      <c r="D8" s="56">
        <v>6529414</v>
      </c>
      <c r="E8" s="56">
        <v>1991693</v>
      </c>
      <c r="F8" s="59">
        <v>1553587</v>
      </c>
    </row>
    <row r="9" spans="1:17" x14ac:dyDescent="0.3">
      <c r="A9" s="33" t="s">
        <v>91</v>
      </c>
      <c r="B9" s="56">
        <v>1723496</v>
      </c>
      <c r="C9" s="56">
        <v>242086</v>
      </c>
      <c r="D9" s="56">
        <v>4225372</v>
      </c>
      <c r="E9" s="56">
        <v>363965</v>
      </c>
      <c r="F9" s="59">
        <v>933769.5</v>
      </c>
    </row>
    <row r="10" spans="1:17" x14ac:dyDescent="0.3">
      <c r="A10" s="33" t="s">
        <v>93</v>
      </c>
      <c r="B10" s="56">
        <v>13708179</v>
      </c>
      <c r="C10" s="56">
        <v>0</v>
      </c>
      <c r="D10" s="56">
        <v>22259456</v>
      </c>
      <c r="E10" s="56">
        <v>11165839</v>
      </c>
      <c r="F10" s="59">
        <v>8652684</v>
      </c>
    </row>
    <row r="11" spans="1:17" x14ac:dyDescent="0.3">
      <c r="A11" s="33" t="s">
        <v>94</v>
      </c>
      <c r="B11" s="56">
        <v>609897.66666666663</v>
      </c>
      <c r="C11" s="56">
        <v>0</v>
      </c>
      <c r="D11" s="56">
        <v>2760576</v>
      </c>
      <c r="E11" s="56">
        <v>0</v>
      </c>
      <c r="F11" s="59">
        <v>496732.5</v>
      </c>
    </row>
    <row r="12" spans="1:17" ht="15" thickBot="1" x14ac:dyDescent="0.35">
      <c r="A12" s="60" t="s">
        <v>95</v>
      </c>
      <c r="B12" s="61">
        <v>809299</v>
      </c>
      <c r="C12" s="61">
        <v>4150050</v>
      </c>
      <c r="D12" s="61">
        <v>0</v>
      </c>
      <c r="E12" s="61">
        <v>0</v>
      </c>
      <c r="F12" s="63">
        <v>10082445</v>
      </c>
    </row>
    <row r="13" spans="1:17" ht="15" thickBot="1" x14ac:dyDescent="0.35">
      <c r="A13" s="128" t="s">
        <v>107</v>
      </c>
      <c r="B13" s="129">
        <f>SUM(B5:B12)</f>
        <v>22105487.666666668</v>
      </c>
      <c r="C13" s="129">
        <f t="shared" ref="C13:F13" si="0">SUM(C5:C12)</f>
        <v>4959310</v>
      </c>
      <c r="D13" s="129">
        <f t="shared" si="0"/>
        <v>38758804</v>
      </c>
      <c r="E13" s="129">
        <f t="shared" si="0"/>
        <v>15749675</v>
      </c>
      <c r="F13" s="133">
        <f t="shared" si="0"/>
        <v>23033682</v>
      </c>
    </row>
    <row r="14" spans="1:17" x14ac:dyDescent="0.3">
      <c r="A14" s="68" t="s">
        <v>96</v>
      </c>
      <c r="B14" s="69">
        <v>336085</v>
      </c>
      <c r="C14" s="69">
        <v>0</v>
      </c>
      <c r="D14" s="69">
        <v>1925215</v>
      </c>
      <c r="E14" s="69">
        <v>587456</v>
      </c>
      <c r="F14" s="76">
        <v>433628.5</v>
      </c>
    </row>
    <row r="15" spans="1:17" x14ac:dyDescent="0.3">
      <c r="A15" s="33" t="s">
        <v>97</v>
      </c>
      <c r="B15" s="56">
        <v>62115</v>
      </c>
      <c r="C15" s="56">
        <v>0</v>
      </c>
      <c r="D15" s="56">
        <v>4767385</v>
      </c>
      <c r="E15" s="56">
        <v>301567</v>
      </c>
      <c r="F15" s="59">
        <v>532042.5</v>
      </c>
    </row>
    <row r="16" spans="1:17" ht="15" thickBot="1" x14ac:dyDescent="0.35">
      <c r="A16" s="60" t="s">
        <v>98</v>
      </c>
      <c r="B16" s="61">
        <v>183067.33333333334</v>
      </c>
      <c r="C16" s="61">
        <v>0</v>
      </c>
      <c r="D16" s="61">
        <v>703257</v>
      </c>
      <c r="E16" s="61">
        <v>503567</v>
      </c>
      <c r="F16" s="63">
        <v>169588</v>
      </c>
    </row>
    <row r="17" spans="1:6" ht="15" thickBot="1" x14ac:dyDescent="0.35">
      <c r="A17" s="128" t="s">
        <v>111</v>
      </c>
      <c r="B17" s="129">
        <f>SUM(B14:B16)</f>
        <v>581267.33333333337</v>
      </c>
      <c r="C17" s="129">
        <f t="shared" ref="C17:F17" si="1">SUM(C14:C16)</f>
        <v>0</v>
      </c>
      <c r="D17" s="129">
        <f t="shared" si="1"/>
        <v>7395857</v>
      </c>
      <c r="E17" s="129">
        <f t="shared" si="1"/>
        <v>1392590</v>
      </c>
      <c r="F17" s="133">
        <f t="shared" si="1"/>
        <v>1135259</v>
      </c>
    </row>
    <row r="18" spans="1:6" ht="15" thickBot="1" x14ac:dyDescent="0.35">
      <c r="A18" s="64" t="s">
        <v>86</v>
      </c>
      <c r="B18" s="65">
        <f>+B13+B17</f>
        <v>22686755</v>
      </c>
      <c r="C18" s="65">
        <f t="shared" ref="C18:F18" si="2">+C13+C17</f>
        <v>4959310</v>
      </c>
      <c r="D18" s="65">
        <f t="shared" si="2"/>
        <v>46154661</v>
      </c>
      <c r="E18" s="65">
        <f t="shared" si="2"/>
        <v>17142265</v>
      </c>
      <c r="F18" s="67">
        <f t="shared" si="2"/>
        <v>24168941</v>
      </c>
    </row>
    <row r="19" spans="1:6" x14ac:dyDescent="0.3">
      <c r="A19" s="68" t="s">
        <v>1</v>
      </c>
      <c r="B19" s="69">
        <v>2097</v>
      </c>
      <c r="C19" s="69">
        <v>1383</v>
      </c>
      <c r="D19" s="69">
        <v>36338</v>
      </c>
      <c r="E19" s="69">
        <v>0</v>
      </c>
      <c r="F19" s="76">
        <v>10917</v>
      </c>
    </row>
    <row r="20" spans="1:6" x14ac:dyDescent="0.3">
      <c r="A20" s="33" t="s">
        <v>2</v>
      </c>
      <c r="B20" s="56">
        <v>781</v>
      </c>
      <c r="C20" s="56">
        <v>384</v>
      </c>
      <c r="D20" s="56">
        <v>1445</v>
      </c>
      <c r="E20" s="56">
        <v>0</v>
      </c>
      <c r="F20" s="59">
        <v>2460</v>
      </c>
    </row>
    <row r="21" spans="1:6" ht="15" thickBot="1" x14ac:dyDescent="0.35">
      <c r="A21" s="77" t="s">
        <v>85</v>
      </c>
      <c r="B21" s="78">
        <v>2</v>
      </c>
      <c r="C21" s="78">
        <v>4</v>
      </c>
      <c r="D21" s="78">
        <v>14</v>
      </c>
      <c r="E21" s="78">
        <v>0</v>
      </c>
      <c r="F21" s="80">
        <v>8</v>
      </c>
    </row>
    <row r="22" spans="1:6" ht="15" thickBot="1" x14ac:dyDescent="0.35"/>
    <row r="23" spans="1:6" ht="15" thickBot="1" x14ac:dyDescent="0.35">
      <c r="A23" s="202" t="s">
        <v>118</v>
      </c>
      <c r="B23" s="203"/>
      <c r="C23" s="203"/>
      <c r="D23" s="203"/>
      <c r="E23" s="203"/>
      <c r="F23" s="204"/>
    </row>
    <row r="24" spans="1:6" x14ac:dyDescent="0.3">
      <c r="A24" s="52" t="s">
        <v>87</v>
      </c>
      <c r="B24" s="134">
        <f>+B5/B$18</f>
        <v>0.11217534930256295</v>
      </c>
      <c r="C24" s="134">
        <f t="shared" ref="C24:F24" si="3">+C5/C$18</f>
        <v>0.11436550649183051</v>
      </c>
      <c r="D24" s="134">
        <f t="shared" si="3"/>
        <v>6.1200427839779824E-2</v>
      </c>
      <c r="E24" s="134">
        <f t="shared" si="3"/>
        <v>5.3960197208478576E-2</v>
      </c>
      <c r="F24" s="134">
        <f t="shared" si="3"/>
        <v>5.3032153953290716E-2</v>
      </c>
    </row>
    <row r="25" spans="1:6" x14ac:dyDescent="0.3">
      <c r="A25" s="87" t="s">
        <v>88</v>
      </c>
      <c r="B25" s="134">
        <f t="shared" ref="B25:F25" si="4">+B6/B$18</f>
        <v>0</v>
      </c>
      <c r="C25" s="134">
        <f t="shared" si="4"/>
        <v>0</v>
      </c>
      <c r="D25" s="134">
        <f t="shared" si="4"/>
        <v>0</v>
      </c>
      <c r="E25" s="134">
        <f t="shared" si="4"/>
        <v>0</v>
      </c>
      <c r="F25" s="134">
        <f t="shared" si="4"/>
        <v>1.1485815617655734E-4</v>
      </c>
    </row>
    <row r="26" spans="1:6" x14ac:dyDescent="0.3">
      <c r="A26" s="87" t="s">
        <v>89</v>
      </c>
      <c r="B26" s="134">
        <f t="shared" ref="B26:F26" si="5">+B7/B$18</f>
        <v>1.9214265474869954E-2</v>
      </c>
      <c r="C26" s="134">
        <f t="shared" si="5"/>
        <v>0</v>
      </c>
      <c r="D26" s="134">
        <f t="shared" si="5"/>
        <v>3.4514607311274584E-3</v>
      </c>
      <c r="E26" s="134">
        <f t="shared" si="5"/>
        <v>7.6021342570541287E-2</v>
      </c>
      <c r="F26" s="134">
        <f t="shared" si="5"/>
        <v>1.2394833517943545E-3</v>
      </c>
    </row>
    <row r="27" spans="1:6" x14ac:dyDescent="0.3">
      <c r="A27" s="87" t="s">
        <v>90</v>
      </c>
      <c r="B27" s="134">
        <f t="shared" ref="B27:F27" si="6">+B8/B$18</f>
        <v>0.10022640963857546</v>
      </c>
      <c r="C27" s="134">
        <f t="shared" si="6"/>
        <v>0</v>
      </c>
      <c r="D27" s="134">
        <f t="shared" si="6"/>
        <v>0.1414681390466718</v>
      </c>
      <c r="E27" s="134">
        <f t="shared" si="6"/>
        <v>0.1161861049283744</v>
      </c>
      <c r="F27" s="134">
        <f t="shared" si="6"/>
        <v>6.4280309178627232E-2</v>
      </c>
    </row>
    <row r="28" spans="1:6" x14ac:dyDescent="0.3">
      <c r="A28" s="87" t="s">
        <v>91</v>
      </c>
      <c r="B28" s="134">
        <f t="shared" ref="B28:F28" si="7">+B9/B$18</f>
        <v>7.5969260478195313E-2</v>
      </c>
      <c r="C28" s="134">
        <f t="shared" si="7"/>
        <v>4.8814452010461133E-2</v>
      </c>
      <c r="D28" s="134">
        <f t="shared" si="7"/>
        <v>9.1548110384777823E-2</v>
      </c>
      <c r="E28" s="134">
        <f t="shared" si="7"/>
        <v>2.1232025056198815E-2</v>
      </c>
      <c r="F28" s="134">
        <f t="shared" si="7"/>
        <v>3.8635101968265799E-2</v>
      </c>
    </row>
    <row r="29" spans="1:6" x14ac:dyDescent="0.3">
      <c r="A29" s="87" t="s">
        <v>92</v>
      </c>
      <c r="B29" s="134">
        <f t="shared" ref="B29:F29" si="8">+B10/B$18</f>
        <v>0.60423709781323953</v>
      </c>
      <c r="C29" s="134">
        <f t="shared" si="8"/>
        <v>0</v>
      </c>
      <c r="D29" s="134">
        <f t="shared" si="8"/>
        <v>0.48227969868525306</v>
      </c>
      <c r="E29" s="134">
        <f t="shared" si="8"/>
        <v>0.65136310750067161</v>
      </c>
      <c r="F29" s="134">
        <f t="shared" si="8"/>
        <v>0.35800840425734831</v>
      </c>
    </row>
    <row r="30" spans="1:6" x14ac:dyDescent="0.3">
      <c r="A30" s="87" t="s">
        <v>93</v>
      </c>
      <c r="B30" s="134">
        <f t="shared" ref="B30:F30" si="9">+B11/B$18</f>
        <v>2.6883424564979285E-2</v>
      </c>
      <c r="C30" s="134">
        <f t="shared" si="9"/>
        <v>0</v>
      </c>
      <c r="D30" s="134">
        <f t="shared" si="9"/>
        <v>5.9811424029308766E-2</v>
      </c>
      <c r="E30" s="134">
        <f t="shared" si="9"/>
        <v>0</v>
      </c>
      <c r="F30" s="134">
        <f t="shared" si="9"/>
        <v>2.0552514071675711E-2</v>
      </c>
    </row>
    <row r="31" spans="1:6" x14ac:dyDescent="0.3">
      <c r="A31" s="87" t="s">
        <v>94</v>
      </c>
      <c r="B31" s="134">
        <f t="shared" ref="B31:F31" si="10">+B12/B$18</f>
        <v>3.5672752670005033E-2</v>
      </c>
      <c r="C31" s="134">
        <f t="shared" si="10"/>
        <v>0.83682004149770839</v>
      </c>
      <c r="D31" s="134">
        <f t="shared" si="10"/>
        <v>0</v>
      </c>
      <c r="E31" s="134">
        <f t="shared" si="10"/>
        <v>0</v>
      </c>
      <c r="F31" s="134">
        <f t="shared" si="10"/>
        <v>0.41716536111367064</v>
      </c>
    </row>
    <row r="32" spans="1:6" x14ac:dyDescent="0.3">
      <c r="A32" s="87" t="s">
        <v>95</v>
      </c>
      <c r="B32" s="134">
        <f t="shared" ref="B32:F32" si="11">+B13/B$18</f>
        <v>0.9743785599424275</v>
      </c>
      <c r="C32" s="134">
        <f t="shared" si="11"/>
        <v>1</v>
      </c>
      <c r="D32" s="134">
        <f t="shared" si="11"/>
        <v>0.83975926071691875</v>
      </c>
      <c r="E32" s="134">
        <f t="shared" si="11"/>
        <v>0.9187627772642647</v>
      </c>
      <c r="F32" s="134">
        <f t="shared" si="11"/>
        <v>0.95302818605084927</v>
      </c>
    </row>
    <row r="33" spans="1:6" x14ac:dyDescent="0.3">
      <c r="A33" s="88" t="s">
        <v>107</v>
      </c>
      <c r="B33" s="89">
        <f>+B13/B$18</f>
        <v>0.9743785599424275</v>
      </c>
      <c r="C33" s="89">
        <f t="shared" ref="C33:F33" si="12">+C13/C$18</f>
        <v>1</v>
      </c>
      <c r="D33" s="89">
        <f t="shared" si="12"/>
        <v>0.83975926071691875</v>
      </c>
      <c r="E33" s="89">
        <f t="shared" si="12"/>
        <v>0.9187627772642647</v>
      </c>
      <c r="F33" s="89">
        <f t="shared" si="12"/>
        <v>0.95302818605084927</v>
      </c>
    </row>
    <row r="34" spans="1:6" x14ac:dyDescent="0.3">
      <c r="A34" s="87" t="s">
        <v>96</v>
      </c>
      <c r="B34" s="134">
        <f>+B14/B$18</f>
        <v>1.4814150370998409E-2</v>
      </c>
      <c r="C34" s="134">
        <f t="shared" ref="C34:F34" si="13">+C14/C$18</f>
        <v>0</v>
      </c>
      <c r="D34" s="134">
        <f t="shared" si="13"/>
        <v>4.1712255236800458E-2</v>
      </c>
      <c r="E34" s="134">
        <f t="shared" si="13"/>
        <v>3.4269450390598907E-2</v>
      </c>
      <c r="F34" s="134">
        <f t="shared" si="13"/>
        <v>1.7941559789483537E-2</v>
      </c>
    </row>
    <row r="35" spans="1:6" x14ac:dyDescent="0.3">
      <c r="A35" s="87" t="s">
        <v>97</v>
      </c>
      <c r="B35" s="134">
        <f t="shared" ref="B35:F35" si="14">+B15/B$18</f>
        <v>2.737941146717545E-3</v>
      </c>
      <c r="C35" s="134">
        <f t="shared" si="14"/>
        <v>0</v>
      </c>
      <c r="D35" s="134">
        <f t="shared" si="14"/>
        <v>0.1032915180549154</v>
      </c>
      <c r="E35" s="134">
        <f t="shared" si="14"/>
        <v>1.7592015990885685E-2</v>
      </c>
      <c r="F35" s="134">
        <f t="shared" si="14"/>
        <v>2.2013480027941647E-2</v>
      </c>
    </row>
    <row r="36" spans="1:6" x14ac:dyDescent="0.3">
      <c r="A36" s="87" t="s">
        <v>98</v>
      </c>
      <c r="B36" s="134">
        <f t="shared" ref="B36:F36" si="15">+B16/B$18</f>
        <v>8.0693485398565523E-3</v>
      </c>
      <c r="C36" s="134">
        <f t="shared" si="15"/>
        <v>0</v>
      </c>
      <c r="D36" s="134">
        <f t="shared" si="15"/>
        <v>1.5236965991365422E-2</v>
      </c>
      <c r="E36" s="134">
        <f t="shared" si="15"/>
        <v>2.9375756354250736E-2</v>
      </c>
      <c r="F36" s="134">
        <f t="shared" si="15"/>
        <v>7.0167741317255063E-3</v>
      </c>
    </row>
    <row r="37" spans="1:6" x14ac:dyDescent="0.3">
      <c r="A37" s="88" t="s">
        <v>111</v>
      </c>
      <c r="B37" s="89">
        <f>+B17/B$18</f>
        <v>2.5621440057572508E-2</v>
      </c>
      <c r="C37" s="89">
        <f t="shared" ref="C37:F37" si="16">+C17/C$18</f>
        <v>0</v>
      </c>
      <c r="D37" s="89">
        <f t="shared" si="16"/>
        <v>0.1602407392830813</v>
      </c>
      <c r="E37" s="89">
        <f t="shared" si="16"/>
        <v>8.1237222735735332E-2</v>
      </c>
      <c r="F37" s="89">
        <f t="shared" si="16"/>
        <v>4.697181394915069E-2</v>
      </c>
    </row>
    <row r="38" spans="1:6" x14ac:dyDescent="0.3">
      <c r="A38" s="91" t="s">
        <v>112</v>
      </c>
      <c r="B38" s="92">
        <f>+B18/B$18</f>
        <v>1</v>
      </c>
      <c r="C38" s="92">
        <f t="shared" ref="C38:F38" si="17">+C18/C$18</f>
        <v>1</v>
      </c>
      <c r="D38" s="92">
        <f t="shared" si="17"/>
        <v>1</v>
      </c>
      <c r="E38" s="92">
        <f t="shared" si="17"/>
        <v>1</v>
      </c>
      <c r="F38" s="92">
        <f t="shared" si="17"/>
        <v>1</v>
      </c>
    </row>
    <row r="39" spans="1:6" ht="19.8" customHeight="1" x14ac:dyDescent="0.3">
      <c r="A39" s="205" t="s">
        <v>476</v>
      </c>
      <c r="B39" s="205"/>
      <c r="C39" s="205"/>
      <c r="D39" s="205"/>
      <c r="E39" s="205"/>
      <c r="F39" s="205"/>
    </row>
    <row r="40" spans="1:6" x14ac:dyDescent="0.3">
      <c r="A40" s="28" t="s">
        <v>498</v>
      </c>
    </row>
    <row r="41" spans="1:6" x14ac:dyDescent="0.3">
      <c r="A41" s="95">
        <v>41008</v>
      </c>
    </row>
  </sheetData>
  <mergeCells count="4">
    <mergeCell ref="A39:F39"/>
    <mergeCell ref="A1:F1"/>
    <mergeCell ref="A2:F2"/>
    <mergeCell ref="A23:F23"/>
  </mergeCells>
  <hyperlinks>
    <hyperlink ref="A1:F1" location="CONTENIDO!A1" display="EMPRESAS DE TRANSPORTE AÉREO- CARGA 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43BC6C890E0245954F6B1068B7FB63" ma:contentTypeVersion="3" ma:contentTypeDescription="Crear nuevo documento." ma:contentTypeScope="" ma:versionID="cab941008344a26ab7cce7c57916241f">
  <xsd:schema xmlns:xsd="http://www.w3.org/2001/XMLSchema" xmlns:xs="http://www.w3.org/2001/XMLSchema" xmlns:p="http://schemas.microsoft.com/office/2006/metadata/properties" xmlns:ns2="43d1290f-aa3e-4890-b692-6cb93b4e711c" targetNamespace="http://schemas.microsoft.com/office/2006/metadata/properties" ma:root="true" ma:fieldsID="3c07415e22e1e6f4b98c484348bbd29e" ns2:_="">
    <xsd:import namespace="43d1290f-aa3e-4890-b692-6cb93b4e711c"/>
    <xsd:element name="properties">
      <xsd:complexType>
        <xsd:sequence>
          <xsd:element name="documentManagement">
            <xsd:complexType>
              <xsd:all>
                <xsd:element ref="ns2:Orden" minOccurs="0"/>
                <xsd:element ref="ns2:Filtro" minOccurs="0"/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1290f-aa3e-4890-b692-6cb93b4e711c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Text">
          <xsd:maxLength value="255"/>
        </xsd:restriction>
      </xsd:simpleType>
    </xsd:element>
    <xsd:element name="Filtro" ma:index="9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10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43d1290f-aa3e-4890-b692-6cb93b4e711c">02</Orden>
    <Formato xmlns="43d1290f-aa3e-4890-b692-6cb93b4e711c">/Style%20Library/Images/xls.svg</Formato>
    <Filtro xmlns="43d1290f-aa3e-4890-b692-6cb93b4e711c">COSTOS</Filtr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ci_x00f3_n xmlns="1023f0b0-6425-4236-8cbc-a0fcd304b895">Estadísticas Operacionales</Secci_x00f3_n>
    <Orden xmlns="1023f0b0-6425-4236-8cbc-a0fcd304b895" xsi:nil="true"/>
    <PublishingExpirationDate xmlns="http://schemas.microsoft.com/sharepoint/v3" xsi:nil="true"/>
    <PublishingStartDate xmlns="http://schemas.microsoft.com/sharepoint/v3" xsi:nil="true"/>
    <Clase xmlns="1023f0b0-6425-4236-8cbc-a0fcd304b895" xsi:nil="true"/>
    <_dlc_DocId xmlns="b150946a-e91e-41f5-8b47-a9dbc3d237ee">AEVVZYF6TF2M-623-203</_dlc_DocId>
    <_dlc_DocIdUrl xmlns="b150946a-e91e-41f5-8b47-a9dbc3d237ee">
      <Url>http://www.aerocivil.gov.co/AAeronautica/Estadisticas/TAereo/_layouts/DocIdRedir.aspx?ID=AEVVZYF6TF2M-623-203</Url>
      <Description>AEVVZYF6TF2M-623-203</Description>
    </_dlc_DocIdUrl>
  </documentManagement>
</p:properties>
</file>

<file path=customXml/itemProps1.xml><?xml version="1.0" encoding="utf-8"?>
<ds:datastoreItem xmlns:ds="http://schemas.openxmlformats.org/officeDocument/2006/customXml" ds:itemID="{5119F086-3B3C-48B7-A389-D15820BFBF89}"/>
</file>

<file path=customXml/itemProps2.xml><?xml version="1.0" encoding="utf-8"?>
<ds:datastoreItem xmlns:ds="http://schemas.openxmlformats.org/officeDocument/2006/customXml" ds:itemID="{FF4AA011-7EF5-40AB-8DEA-9BA4286BBD4C}"/>
</file>

<file path=customXml/itemProps3.xml><?xml version="1.0" encoding="utf-8"?>
<ds:datastoreItem xmlns:ds="http://schemas.openxmlformats.org/officeDocument/2006/customXml" ds:itemID="{38219E70-0160-4210-B0D9-F75A6A625410}"/>
</file>

<file path=customXml/itemProps4.xml><?xml version="1.0" encoding="utf-8"?>
<ds:datastoreItem xmlns:ds="http://schemas.openxmlformats.org/officeDocument/2006/customXml" ds:itemID="{FF4AA011-7EF5-40AB-8DEA-9BA4286BBD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CONTENIDO</vt:lpstr>
      <vt:lpstr>EMPRESAS - TIPO AERONAVE</vt:lpstr>
      <vt:lpstr>COBERTURA</vt:lpstr>
      <vt:lpstr>PAX REGULAR NACIONAL  I SEM</vt:lpstr>
      <vt:lpstr>PAX REGULAR NACIONAL II SEM</vt:lpstr>
      <vt:lpstr>PAX-  EXTRANJEROS I SEM</vt:lpstr>
      <vt:lpstr>PAX - EXTRANJEROS II SEM</vt:lpstr>
      <vt:lpstr>CARGA -EXTRANJERA I SEM</vt:lpstr>
      <vt:lpstr>CARGA - EXTRANJERA II SEM</vt:lpstr>
      <vt:lpstr>CARGA  I SEM 2011</vt:lpstr>
      <vt:lpstr>CARGA II SEM 2011</vt:lpstr>
      <vt:lpstr>COMERC. REGIONAL I SEM</vt:lpstr>
      <vt:lpstr>COM. REGIO II SEM</vt:lpstr>
      <vt:lpstr>AEROTAXIS I SEM</vt:lpstr>
      <vt:lpstr>AEROTAXI  II SEM</vt:lpstr>
      <vt:lpstr>TRABAJ AEREOS ESPEC I SEM 2011</vt:lpstr>
      <vt:lpstr>TRABAJ AEREOS ESPEC II SEM 2011</vt:lpstr>
      <vt:lpstr>AVIACION AGRICOLA  I SEM 2011</vt:lpstr>
      <vt:lpstr>AVIACION AGRICOLA II SEM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Costos de Empresas de Transporte Aéreo 2011</dc:title>
  <dc:creator>Maria Nubia Huertas Peña</dc:creator>
  <cp:lastModifiedBy>41680593</cp:lastModifiedBy>
  <dcterms:created xsi:type="dcterms:W3CDTF">2012-04-10T13:43:01Z</dcterms:created>
  <dcterms:modified xsi:type="dcterms:W3CDTF">2012-04-30T20:09:23Z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0x010100CD43BC6C890E0245954F6B1068B7FB63</vt:lpwstr>
  </property>
  <property fmtid="{D5CDD505-2E9C-101B-9397-08002B2CF9AE}" pid="3" name="_dlc_DocIdItemGuid">
    <vt:lpwstr>769b1a07-ac90-4d21-b71f-8c24a8c85a23</vt:lpwstr>
  </property>
</Properties>
</file>